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Springer\2024-2028\Listen Website\2025-09\"/>
    </mc:Choice>
  </mc:AlternateContent>
  <xr:revisionPtr revIDLastSave="0" documentId="13_ncr:1_{96C946A7-50D2-4683-B3A2-B5AF59E003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old OA" sheetId="1" r:id="rId1"/>
  </sheets>
  <definedNames>
    <definedName name="_xlnm._FilterDatabase" localSheetId="0" hidden="1">'Gold OA'!$A$2:$F$648</definedName>
    <definedName name="_xlnm.Print_Area" localSheetId="0">'Gold OA'!$A$1:$F$4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8" i="1" l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<sst xmlns="http://schemas.openxmlformats.org/spreadsheetml/2006/main" count="2591" uniqueCount="1328">
  <si>
    <t>Journal Title</t>
  </si>
  <si>
    <t>Main Discipline</t>
  </si>
  <si>
    <t>Journal Homepage URL</t>
  </si>
  <si>
    <t>eISSN</t>
  </si>
  <si>
    <r>
      <rPr>
        <b/>
        <sz val="10"/>
        <color theme="1"/>
        <rFont val="arial"/>
      </rPr>
      <t>Current DEAL Cost Contribution</t>
    </r>
    <r>
      <rPr>
        <sz val="10"/>
        <color theme="1"/>
        <rFont val="arial"/>
      </rPr>
      <t xml:space="preserve"> (2025)</t>
    </r>
  </si>
  <si>
    <t>OA License Type</t>
  </si>
  <si>
    <t>Life Sciences</t>
  </si>
  <si>
    <t>CC BY</t>
  </si>
  <si>
    <t>Mathematics</t>
  </si>
  <si>
    <t>Physics</t>
  </si>
  <si>
    <t>Biomedicine</t>
  </si>
  <si>
    <t>Swiss Journal of Geosciences</t>
  </si>
  <si>
    <t>Earth Sciences</t>
  </si>
  <si>
    <t>1661-8734</t>
  </si>
  <si>
    <t>Cellular and Molecular Life Sciences</t>
  </si>
  <si>
    <t>1420-9071</t>
  </si>
  <si>
    <t>Engineering</t>
  </si>
  <si>
    <t>Computer Science</t>
  </si>
  <si>
    <t>History</t>
  </si>
  <si>
    <t>Medicine &amp; Public Health</t>
  </si>
  <si>
    <t>Dentistry</t>
  </si>
  <si>
    <t>Environment</t>
  </si>
  <si>
    <t>Economics</t>
  </si>
  <si>
    <t>Statistics</t>
  </si>
  <si>
    <t>Business and Management</t>
  </si>
  <si>
    <t>Chemistry</t>
  </si>
  <si>
    <t>Microbial Ecology</t>
  </si>
  <si>
    <t>1432-184X</t>
  </si>
  <si>
    <t>Applied Microbiology and Biotechnology</t>
  </si>
  <si>
    <t>1432-0614</t>
  </si>
  <si>
    <t>Cancer Immunology, Immunotherapy</t>
  </si>
  <si>
    <t>1432-0851</t>
  </si>
  <si>
    <t>Annals of Hematology</t>
  </si>
  <si>
    <t>1432-0584</t>
  </si>
  <si>
    <t>Law</t>
  </si>
  <si>
    <t>International Journal of Colorectal Disease</t>
  </si>
  <si>
    <t>1432-1262</t>
  </si>
  <si>
    <t>Materials Science</t>
  </si>
  <si>
    <t>Archives of Gynecology and Obstetrics</t>
  </si>
  <si>
    <t>1432-0711</t>
  </si>
  <si>
    <t>Langenbeck's Archives of Surgery</t>
  </si>
  <si>
    <t>1435-2451</t>
  </si>
  <si>
    <t>Psychology</t>
  </si>
  <si>
    <t>Discover Developmental Biology</t>
  </si>
  <si>
    <t>3059-3247</t>
  </si>
  <si>
    <t>Journal of Cancer Research and Clinical Oncology</t>
  </si>
  <si>
    <t>1432-1335</t>
  </si>
  <si>
    <t>Parasitology Research</t>
  </si>
  <si>
    <t>1432-1955</t>
  </si>
  <si>
    <t>Geography</t>
  </si>
  <si>
    <t>Acta Neurochirurgica</t>
  </si>
  <si>
    <t>0942-0940</t>
  </si>
  <si>
    <t>Amino Acids</t>
  </si>
  <si>
    <t>1438-2199</t>
  </si>
  <si>
    <t>Molecular Medicine</t>
  </si>
  <si>
    <t>1528-3658</t>
  </si>
  <si>
    <t>Virtual Reality</t>
  </si>
  <si>
    <t>1434-9957</t>
  </si>
  <si>
    <t>Animal Cognition</t>
  </si>
  <si>
    <t>1435-9456</t>
  </si>
  <si>
    <t>Journal of Wood Science</t>
  </si>
  <si>
    <t>1611-4663</t>
  </si>
  <si>
    <t>Techniques in Coloproctology</t>
  </si>
  <si>
    <t>1128-045X</t>
  </si>
  <si>
    <t>The Journal of Headache and Pain</t>
  </si>
  <si>
    <t>1129-2377</t>
  </si>
  <si>
    <t>Journal of Orthopaedics and Traumatology</t>
  </si>
  <si>
    <t>1590-9999</t>
  </si>
  <si>
    <t>Education</t>
  </si>
  <si>
    <t>Clinical and Experimental Medicine</t>
  </si>
  <si>
    <t>1591-9528</t>
  </si>
  <si>
    <t>Publications mathématiques de l'IHÉS</t>
  </si>
  <si>
    <t>1618-1913</t>
  </si>
  <si>
    <t>Social Sciences</t>
  </si>
  <si>
    <t>European Journal of Ageing</t>
  </si>
  <si>
    <t>1613-9380</t>
  </si>
  <si>
    <t>Philosophy</t>
  </si>
  <si>
    <t>Artificial Intelligence Review</t>
  </si>
  <si>
    <t>1573-7462</t>
  </si>
  <si>
    <t>Biogeochemistry</t>
  </si>
  <si>
    <t>1573-515X</t>
  </si>
  <si>
    <t>Cell Biology and Toxicology</t>
  </si>
  <si>
    <t>1573-6822</t>
  </si>
  <si>
    <t>Cellular and Molecular Neurobiology</t>
  </si>
  <si>
    <t>1573-6830</t>
  </si>
  <si>
    <t>Linguistics</t>
  </si>
  <si>
    <t>Political Science and International Relations</t>
  </si>
  <si>
    <t>Criminology and Criminal Justice</t>
  </si>
  <si>
    <t>European Journal of Population</t>
  </si>
  <si>
    <t>1572-9885</t>
  </si>
  <si>
    <t>Plant Growth Regulation</t>
  </si>
  <si>
    <t>1573-5087</t>
  </si>
  <si>
    <t>Energy</t>
  </si>
  <si>
    <t>Inflammation</t>
  </si>
  <si>
    <t>1573-2576</t>
  </si>
  <si>
    <t>Discover Computing</t>
  </si>
  <si>
    <t>2948-2992</t>
  </si>
  <si>
    <t>The Journal of Comparative Germanic Linguistics</t>
  </si>
  <si>
    <t>1572-8552</t>
  </si>
  <si>
    <t>Journal of Intelligent &amp; Robotic Systems</t>
  </si>
  <si>
    <t>1573-0409</t>
  </si>
  <si>
    <t>Journal of Materials Science: Materials in Medicine</t>
  </si>
  <si>
    <t>1573-4838</t>
  </si>
  <si>
    <t>Journal of Clinical Immunology</t>
  </si>
  <si>
    <t>1573-2592</t>
  </si>
  <si>
    <t>Journal of Mammary Gland Biology and Neoplasia</t>
  </si>
  <si>
    <t>1573-7039</t>
  </si>
  <si>
    <t>Landscape Ecology</t>
  </si>
  <si>
    <t>1572-9761</t>
  </si>
  <si>
    <t>Discover Space</t>
  </si>
  <si>
    <t>2948-295X</t>
  </si>
  <si>
    <t>Neural Processing Letters</t>
  </si>
  <si>
    <t>1573-773X</t>
  </si>
  <si>
    <t>Discover Life</t>
  </si>
  <si>
    <t>2948-2976</t>
  </si>
  <si>
    <t>European Review of Aging and Physical Activity</t>
  </si>
  <si>
    <t>1861-6909</t>
  </si>
  <si>
    <t>CC BY + CC0</t>
  </si>
  <si>
    <t>NanoEthics</t>
  </si>
  <si>
    <t>1871-4765</t>
  </si>
  <si>
    <t>Cellular &amp; Molecular Biology Letters</t>
  </si>
  <si>
    <t>1689-1392</t>
  </si>
  <si>
    <t>Discover Nano</t>
  </si>
  <si>
    <t>2731-9229</t>
  </si>
  <si>
    <t>Journal of Neurodevelopmental Disorders</t>
  </si>
  <si>
    <t>1866-1955</t>
  </si>
  <si>
    <t>Science and Engineering Ethics</t>
  </si>
  <si>
    <t>1471-5546</t>
  </si>
  <si>
    <t>Clinical Proteomics</t>
  </si>
  <si>
    <t>1559-0275</t>
  </si>
  <si>
    <t>Evolution: Education and Outreach</t>
  </si>
  <si>
    <t>1936-6434</t>
  </si>
  <si>
    <t>Vocations and Learning</t>
  </si>
  <si>
    <t>1874-7868</t>
  </si>
  <si>
    <t>International Journal of Emergency Medicine</t>
  </si>
  <si>
    <t>1865-1380</t>
  </si>
  <si>
    <t>Genes &amp; Nutrition</t>
  </si>
  <si>
    <t>1865-3499</t>
  </si>
  <si>
    <t>Experimental &amp; Molecular Medicine</t>
  </si>
  <si>
    <t>2092-6413</t>
  </si>
  <si>
    <t>Rice</t>
  </si>
  <si>
    <t>1939-8433</t>
  </si>
  <si>
    <t>Environmental Sciences Europe</t>
  </si>
  <si>
    <t>2190-4715</t>
  </si>
  <si>
    <t>Journal of Ophthalmic Inflammation and Infection</t>
  </si>
  <si>
    <t>1869-5760</t>
  </si>
  <si>
    <t>European Transport Research Review</t>
  </si>
  <si>
    <t>1866-8887</t>
  </si>
  <si>
    <t>Biological Procedures Online</t>
  </si>
  <si>
    <t>1480-9222</t>
  </si>
  <si>
    <t>Basic and Clinical Andrology</t>
  </si>
  <si>
    <t>2051-4190</t>
  </si>
  <si>
    <t>Cancer Nanotechnology</t>
  </si>
  <si>
    <t>1868-6966</t>
  </si>
  <si>
    <t>Discover Oncology</t>
  </si>
  <si>
    <t>2730-6011</t>
  </si>
  <si>
    <t>Genetics Selection Evolution</t>
  </si>
  <si>
    <t>1297-9686</t>
  </si>
  <si>
    <t>BMC Bioinformatics</t>
  </si>
  <si>
    <t>1471-2105</t>
  </si>
  <si>
    <t>BMC Molecular and Cell Biology</t>
  </si>
  <si>
    <t>2661-8850</t>
  </si>
  <si>
    <t>BMC Ecology and Evolution</t>
  </si>
  <si>
    <t>2730-7182</t>
  </si>
  <si>
    <t>BMC Genomic Data</t>
  </si>
  <si>
    <t>2730-6844</t>
  </si>
  <si>
    <t>BMC Genomics</t>
  </si>
  <si>
    <t>1471-2164</t>
  </si>
  <si>
    <t>BMC Immunology</t>
  </si>
  <si>
    <t>1471-2172</t>
  </si>
  <si>
    <t>BMC Microbiology</t>
  </si>
  <si>
    <t>1471-2180</t>
  </si>
  <si>
    <t>BMC Neuroscience</t>
  </si>
  <si>
    <t>1471-2202</t>
  </si>
  <si>
    <t>BMC Plant Biology</t>
  </si>
  <si>
    <t>1471-2229</t>
  </si>
  <si>
    <t>BMC Anesthesiology</t>
  </si>
  <si>
    <t>1471-2253</t>
  </si>
  <si>
    <t>BMC Cardiovascular Disorders</t>
  </si>
  <si>
    <t>1471-2261</t>
  </si>
  <si>
    <t>BMC Emergency Medicine</t>
  </si>
  <si>
    <t>1471-227X</t>
  </si>
  <si>
    <t>BMC Medical Research Methodology</t>
  </si>
  <si>
    <t>1471-2288</t>
  </si>
  <si>
    <t>BMC Primary Care</t>
  </si>
  <si>
    <t>2731-4553</t>
  </si>
  <si>
    <t>BMC Gastroenterology</t>
  </si>
  <si>
    <t>1471-230X</t>
  </si>
  <si>
    <t>BMC Geriatrics</t>
  </si>
  <si>
    <t>1471-2318</t>
  </si>
  <si>
    <t>BMC Infectious Diseases</t>
  </si>
  <si>
    <t>1471-2334</t>
  </si>
  <si>
    <t>BMC Medical Imaging</t>
  </si>
  <si>
    <t>1471-2342</t>
  </si>
  <si>
    <t>BMC Nephrology</t>
  </si>
  <si>
    <t>1471-2369</t>
  </si>
  <si>
    <t>BMC Neurology</t>
  </si>
  <si>
    <t>1471-2377</t>
  </si>
  <si>
    <t>BMC Pregnancy and Childbirth</t>
  </si>
  <si>
    <t>1471-2393</t>
  </si>
  <si>
    <t>BMC Cancer</t>
  </si>
  <si>
    <t>1471-2407</t>
  </si>
  <si>
    <t>BMC Ophthalmology</t>
  </si>
  <si>
    <t>1471-2415</t>
  </si>
  <si>
    <t>BMC Pediatrics</t>
  </si>
  <si>
    <t>1471-2431</t>
  </si>
  <si>
    <t>BMC Psychiatry</t>
  </si>
  <si>
    <t>1471-244X</t>
  </si>
  <si>
    <t>BMC Public Health</t>
  </si>
  <si>
    <t>1471-2458</t>
  </si>
  <si>
    <t>BMC Pulmonary Medicine</t>
  </si>
  <si>
    <t>1471-2466</t>
  </si>
  <si>
    <t>BMC Musculoskeletal Disorders</t>
  </si>
  <si>
    <t>1471-2474</t>
  </si>
  <si>
    <t>BMC Surgery</t>
  </si>
  <si>
    <t>1471-2482</t>
  </si>
  <si>
    <t>BMC Urology</t>
  </si>
  <si>
    <t>1471-2490</t>
  </si>
  <si>
    <t>BMC Biotechnology</t>
  </si>
  <si>
    <t>1472-6750</t>
  </si>
  <si>
    <t>BMC Endocrine Disorders</t>
  </si>
  <si>
    <t>1472-6823</t>
  </si>
  <si>
    <t>BMC Oral Health</t>
  </si>
  <si>
    <t>1472-6831</t>
  </si>
  <si>
    <t>BMC Palliative Care</t>
  </si>
  <si>
    <t>1472-684X</t>
  </si>
  <si>
    <t>BMC Women's Health</t>
  </si>
  <si>
    <t>1472-6874</t>
  </si>
  <si>
    <t>BMC Complementary Medicine and Therapies</t>
  </si>
  <si>
    <t>2662-7671</t>
  </si>
  <si>
    <t>BMC Medical Education</t>
  </si>
  <si>
    <t>1472-6920</t>
  </si>
  <si>
    <t>BMC Medical Ethics</t>
  </si>
  <si>
    <t>1472-6939</t>
  </si>
  <si>
    <t>BMC Medical Informatics and Decision Making</t>
  </si>
  <si>
    <t>1472-6947</t>
  </si>
  <si>
    <t>BMC Nursing</t>
  </si>
  <si>
    <t>1472-6955</t>
  </si>
  <si>
    <t>BMC Health Services Research</t>
  </si>
  <si>
    <t>1472-6963</t>
  </si>
  <si>
    <t>BMC Biology</t>
  </si>
  <si>
    <t>1741-7007</t>
  </si>
  <si>
    <t>BMC Medicine</t>
  </si>
  <si>
    <t>1741-7015</t>
  </si>
  <si>
    <t>BMC Veterinary Research</t>
  </si>
  <si>
    <t>1746-6148</t>
  </si>
  <si>
    <t>BMC Medical Genomics</t>
  </si>
  <si>
    <t>1755-8794</t>
  </si>
  <si>
    <t>Respiratory Research</t>
  </si>
  <si>
    <t>1465-993X</t>
  </si>
  <si>
    <t>Geochemical Transactions</t>
  </si>
  <si>
    <t>1467-4866</t>
  </si>
  <si>
    <t>Cardiovascular Diabetology</t>
  </si>
  <si>
    <t>1475-2840</t>
  </si>
  <si>
    <t>Microbial Cell Factories</t>
  </si>
  <si>
    <t>1475-2859</t>
  </si>
  <si>
    <t>Cancer Cell International</t>
  </si>
  <si>
    <t>1475-2867</t>
  </si>
  <si>
    <t>Malaria Journal</t>
  </si>
  <si>
    <t>1475-2875</t>
  </si>
  <si>
    <t>Nutrition Journal</t>
  </si>
  <si>
    <t>1475-2891</t>
  </si>
  <si>
    <t>BioMedical Engineering OnLine</t>
  </si>
  <si>
    <t>1475-925X</t>
  </si>
  <si>
    <t>International Journal for Equity in Health</t>
  </si>
  <si>
    <t>1475-9276</t>
  </si>
  <si>
    <t>Environmental Health</t>
  </si>
  <si>
    <t>1476-069X</t>
  </si>
  <si>
    <t>Annals of Clinical Microbiology and Antimicrobials</t>
  </si>
  <si>
    <t>1476-0711</t>
  </si>
  <si>
    <t>International Journal of Health Geographics</t>
  </si>
  <si>
    <t>1476-072X</t>
  </si>
  <si>
    <t>Molecular Cancer</t>
  </si>
  <si>
    <t>1476-4598</t>
  </si>
  <si>
    <t>Lipids in Health and Disease</t>
  </si>
  <si>
    <t>1476-511X</t>
  </si>
  <si>
    <t>Cardiovascular Ultrasound</t>
  </si>
  <si>
    <t>1476-7120</t>
  </si>
  <si>
    <t>Clinical and Molecular Allergy</t>
  </si>
  <si>
    <t>1476-7961</t>
  </si>
  <si>
    <t>Journal of Inflammation</t>
  </si>
  <si>
    <t>1476-9255</t>
  </si>
  <si>
    <t>Journal of Nanobiotechnology</t>
  </si>
  <si>
    <t>1477-3155</t>
  </si>
  <si>
    <t>Proteome Science</t>
  </si>
  <si>
    <t>1477-5956</t>
  </si>
  <si>
    <t>Harm Reduction Journal</t>
  </si>
  <si>
    <t>1477-7517</t>
  </si>
  <si>
    <t>Health and Quality of Life Outcomes</t>
  </si>
  <si>
    <t>1477-7525</t>
  </si>
  <si>
    <t>World Journal of Surgical Oncology</t>
  </si>
  <si>
    <t>1477-7819</t>
  </si>
  <si>
    <t>Reproductive Biology and Endocrinology</t>
  </si>
  <si>
    <t>1477-7827</t>
  </si>
  <si>
    <t>Thrombosis Journal</t>
  </si>
  <si>
    <t>1477-9560</t>
  </si>
  <si>
    <t>Human Resources for Health</t>
  </si>
  <si>
    <t>1478-4491</t>
  </si>
  <si>
    <t>Health Research Policy and Systems</t>
  </si>
  <si>
    <t>1478-4505</t>
  </si>
  <si>
    <t>Cost Effectiveness and Resource Allocation</t>
  </si>
  <si>
    <t>1478-7547</t>
  </si>
  <si>
    <t>Population Health Metrics</t>
  </si>
  <si>
    <t>1478-7954</t>
  </si>
  <si>
    <t>Cell Communication and Signaling</t>
  </si>
  <si>
    <t>1478-811X</t>
  </si>
  <si>
    <t>International Journal of Behavioral Nutrition and Physical Activity</t>
  </si>
  <si>
    <t>1479-5868</t>
  </si>
  <si>
    <t>Journal of Translational Medicine</t>
  </si>
  <si>
    <t>1479-5876</t>
  </si>
  <si>
    <t>Pediatric Rheumatology</t>
  </si>
  <si>
    <t>1546-0096</t>
  </si>
  <si>
    <t>Journal of Neuroinflammation</t>
  </si>
  <si>
    <t>1742-2094</t>
  </si>
  <si>
    <t>Retrovirology</t>
  </si>
  <si>
    <t>1742-4690</t>
  </si>
  <si>
    <t>Reproductive Health</t>
  </si>
  <si>
    <t>1742-4755</t>
  </si>
  <si>
    <t>Immunity &amp; Ageing</t>
  </si>
  <si>
    <t>1742-4933</t>
  </si>
  <si>
    <t>AIDS Research and Therapy</t>
  </si>
  <si>
    <t>1742-6405</t>
  </si>
  <si>
    <t>Frontiers in Zoology</t>
  </si>
  <si>
    <t>1742-9994</t>
  </si>
  <si>
    <t>Journal of NeuroEngineering and Rehabilitation</t>
  </si>
  <si>
    <t>1743-0003</t>
  </si>
  <si>
    <t>Virology Journal</t>
  </si>
  <si>
    <t>1743-422X</t>
  </si>
  <si>
    <t>Nutrition &amp; Metabolism</t>
  </si>
  <si>
    <t>1743-7075</t>
  </si>
  <si>
    <t>Fluids and Barriers of the CNS</t>
  </si>
  <si>
    <t>2045-8118</t>
  </si>
  <si>
    <t>Particle and Fibre Toxicology</t>
  </si>
  <si>
    <t>1743-8977</t>
  </si>
  <si>
    <t>Annals of General Psychiatry</t>
  </si>
  <si>
    <t>1744-859X</t>
  </si>
  <si>
    <t>Globalization and Health</t>
  </si>
  <si>
    <t>1744-8603</t>
  </si>
  <si>
    <t>Behavioral and Brain Functions</t>
  </si>
  <si>
    <t>1744-9081</t>
  </si>
  <si>
    <t>Journal of Occupational Medicine and Toxicology</t>
  </si>
  <si>
    <t>1745-6673</t>
  </si>
  <si>
    <t>Chiropractic &amp; Manual Therapies</t>
  </si>
  <si>
    <t>2045-709x</t>
  </si>
  <si>
    <t>Diagnostic Pathology</t>
  </si>
  <si>
    <t>1746-1596</t>
  </si>
  <si>
    <t>Journal of Ethnobiology and Ethnomedicine</t>
  </si>
  <si>
    <t>1746-4269</t>
  </si>
  <si>
    <t>Head &amp; Face Medicine</t>
  </si>
  <si>
    <t>1746-160X</t>
  </si>
  <si>
    <t>International Breastfeeding Journal</t>
  </si>
  <si>
    <t>1746-4358</t>
  </si>
  <si>
    <t>Plant Methods</t>
  </si>
  <si>
    <t>1746-4811</t>
  </si>
  <si>
    <t>Cell Division</t>
  </si>
  <si>
    <t>1747-1028</t>
  </si>
  <si>
    <t>Philosophy, Ethics, and Humanities in Medicine</t>
  </si>
  <si>
    <t>1747-5341</t>
  </si>
  <si>
    <t>Substance Abuse Treatment, Prevention, and Policy</t>
  </si>
  <si>
    <t>1747-597X</t>
  </si>
  <si>
    <t>Implementation Science</t>
  </si>
  <si>
    <t>1748-5908</t>
  </si>
  <si>
    <t>Radiation Oncology</t>
  </si>
  <si>
    <t>1748-717X</t>
  </si>
  <si>
    <t>Algorithms for Molecular Biology</t>
  </si>
  <si>
    <t>1748-7188</t>
  </si>
  <si>
    <t>World Journal of Emergency Surgery</t>
  </si>
  <si>
    <t>1749-7922</t>
  </si>
  <si>
    <t>Journal of Orthopaedic Surgery and Research</t>
  </si>
  <si>
    <t>1749-799X</t>
  </si>
  <si>
    <t>Journal of Cardiothoracic Surgery</t>
  </si>
  <si>
    <t>1749-8090</t>
  </si>
  <si>
    <t>Chinese Medicine</t>
  </si>
  <si>
    <t>1749-8546</t>
  </si>
  <si>
    <t>Carbon Balance and Management</t>
  </si>
  <si>
    <t>1750-0680</t>
  </si>
  <si>
    <t>Orphanet Journal of Rare Diseases</t>
  </si>
  <si>
    <t>1750-1172</t>
  </si>
  <si>
    <t>Molecular Neurodegeneration</t>
  </si>
  <si>
    <t>1750-1326</t>
  </si>
  <si>
    <t>Infectious Agents and Cancer</t>
  </si>
  <si>
    <t>1750-9378</t>
  </si>
  <si>
    <t>Acta Veterinaria Scandinavica</t>
  </si>
  <si>
    <t>1751-0147</t>
  </si>
  <si>
    <t>BioPsychoSocial Medicine</t>
  </si>
  <si>
    <t>1751-0759</t>
  </si>
  <si>
    <t>Conflict and Health</t>
  </si>
  <si>
    <t>1752-1505</t>
  </si>
  <si>
    <t>International Journal of Mental Health Systems</t>
  </si>
  <si>
    <t>1752-4458</t>
  </si>
  <si>
    <t>Child and Adolescent Psychiatry and Mental Health</t>
  </si>
  <si>
    <t>1753-2000</t>
  </si>
  <si>
    <t>Journal of Biological Engineering</t>
  </si>
  <si>
    <t>1754-1611</t>
  </si>
  <si>
    <t>Patient Safety in Surgery</t>
  </si>
  <si>
    <t>1754-9493</t>
  </si>
  <si>
    <t>Molecular Cytogenetics</t>
  </si>
  <si>
    <t>1755-8166</t>
  </si>
  <si>
    <t>BioData Mining</t>
  </si>
  <si>
    <t>1756-0381</t>
  </si>
  <si>
    <t>Molecular Brain</t>
  </si>
  <si>
    <t>1756-6606</t>
  </si>
  <si>
    <t>Thyroid Research</t>
  </si>
  <si>
    <t>1756-6614</t>
  </si>
  <si>
    <t>Journal of Hematology &amp; Oncology</t>
  </si>
  <si>
    <t>1756-8722</t>
  </si>
  <si>
    <t>Journal of Experimental &amp; Clinical Cancer Research</t>
  </si>
  <si>
    <t>1756-9966</t>
  </si>
  <si>
    <t>Journal of Ovarian Research</t>
  </si>
  <si>
    <t>1757-2215</t>
  </si>
  <si>
    <t>Scandinavian Journal of Trauma, Resuscitation and Emergency Medicine</t>
  </si>
  <si>
    <t>1757-7241</t>
  </si>
  <si>
    <t>Italian Journal of Pediatrics</t>
  </si>
  <si>
    <t>1824-7288</t>
  </si>
  <si>
    <t>Hereditary Cancer in Clinical Practice</t>
  </si>
  <si>
    <t>1897-4287</t>
  </si>
  <si>
    <t>Critical Care</t>
  </si>
  <si>
    <t>1364-8535</t>
  </si>
  <si>
    <t>Breast Cancer Research</t>
  </si>
  <si>
    <t>1465-542X</t>
  </si>
  <si>
    <t>Genome Biology</t>
  </si>
  <si>
    <t>1474-760X</t>
  </si>
  <si>
    <t>Biology Direct</t>
  </si>
  <si>
    <t>1745-6150</t>
  </si>
  <si>
    <t>Trials</t>
  </si>
  <si>
    <t>1745-6215</t>
  </si>
  <si>
    <t>BMC Chemistry</t>
  </si>
  <si>
    <t>2661-801X</t>
  </si>
  <si>
    <t>Biotechnology for Biofuels and Bioproducts</t>
  </si>
  <si>
    <t>2731-3654</t>
  </si>
  <si>
    <t>Parasites &amp; Vectors</t>
  </si>
  <si>
    <t>1756-3305</t>
  </si>
  <si>
    <t>Epigenetics &amp; Chromatin</t>
  </si>
  <si>
    <t>1756-8935</t>
  </si>
  <si>
    <t>Genome Medicine</t>
  </si>
  <si>
    <t>1756-994X</t>
  </si>
  <si>
    <t>Arthritis Research &amp; Therapy</t>
  </si>
  <si>
    <t>1478-6362</t>
  </si>
  <si>
    <t>The Ultrasound Journal</t>
  </si>
  <si>
    <t>2524-8987</t>
  </si>
  <si>
    <t>Diabetology &amp; Metabolic Syndrome</t>
  </si>
  <si>
    <t>1758-5996</t>
  </si>
  <si>
    <t>Gut Pathogens</t>
  </si>
  <si>
    <t>1757-4749</t>
  </si>
  <si>
    <t>Mobile DNA</t>
  </si>
  <si>
    <t>1759-8753</t>
  </si>
  <si>
    <t>BMC Sports Science, Medicine and Rehabilitation</t>
  </si>
  <si>
    <t>2052-1847</t>
  </si>
  <si>
    <t>BMC Research Notes</t>
  </si>
  <si>
    <t>1756-0500</t>
  </si>
  <si>
    <t>Clinical Epigenetics</t>
  </si>
  <si>
    <t>1868-7083</t>
  </si>
  <si>
    <t>Alzheimer's Research &amp; Therapy</t>
  </si>
  <si>
    <t>1758-9193</t>
  </si>
  <si>
    <t>Applied Water Science</t>
  </si>
  <si>
    <t>2190-5495</t>
  </si>
  <si>
    <t>Journal of Petroleum Exploration and Production Technology</t>
  </si>
  <si>
    <t>2190-0566</t>
  </si>
  <si>
    <t>Annals of Microbiology</t>
  </si>
  <si>
    <t>1869-2044</t>
  </si>
  <si>
    <t>Allergy, Asthma &amp; Clinical Immunology</t>
  </si>
  <si>
    <t>1710-1492</t>
  </si>
  <si>
    <t>EvoDevo</t>
  </si>
  <si>
    <t>2041-9139</t>
  </si>
  <si>
    <t>Molecular Autism</t>
  </si>
  <si>
    <t>2040-2392</t>
  </si>
  <si>
    <t>Insights into Imaging</t>
  </si>
  <si>
    <t>1869-4101</t>
  </si>
  <si>
    <t>Journal of Medical Case Reports</t>
  </si>
  <si>
    <t>1752-1947</t>
  </si>
  <si>
    <t>Social Network Analysis and Mining</t>
  </si>
  <si>
    <t>1869-5469</t>
  </si>
  <si>
    <t>Stem Cell Research &amp; Therapy</t>
  </si>
  <si>
    <t>1757-6512</t>
  </si>
  <si>
    <t>Biology of Sex Differences</t>
  </si>
  <si>
    <t>2042-6410</t>
  </si>
  <si>
    <t>Journal of Cheminformatics</t>
  </si>
  <si>
    <t>1758-2946</t>
  </si>
  <si>
    <t>Journal of Biomedical Semantics</t>
  </si>
  <si>
    <t>2041-1480</t>
  </si>
  <si>
    <t>Swiss Journal of Palaeontology</t>
  </si>
  <si>
    <t>1664-2384</t>
  </si>
  <si>
    <t>Journal of Mathematics in Industry</t>
  </si>
  <si>
    <t>2190-5983</t>
  </si>
  <si>
    <t>Skeletal Muscle</t>
  </si>
  <si>
    <t>2044-5040</t>
  </si>
  <si>
    <t>Cellular Oncology</t>
  </si>
  <si>
    <t>2211-3436</t>
  </si>
  <si>
    <t>EJNMMI Research</t>
  </si>
  <si>
    <t>2191-219X</t>
  </si>
  <si>
    <t>Health Economics Review</t>
  </si>
  <si>
    <t>2191-1991</t>
  </si>
  <si>
    <t>Veterinary Research</t>
  </si>
  <si>
    <t>1297-9716</t>
  </si>
  <si>
    <t>AMB Express</t>
  </si>
  <si>
    <t>2191-0855</t>
  </si>
  <si>
    <t>Cell &amp; Bioscience</t>
  </si>
  <si>
    <t>2045-3701</t>
  </si>
  <si>
    <t>Annals of Forest Science</t>
  </si>
  <si>
    <t>1297-966X</t>
  </si>
  <si>
    <t>Annals of Intensive Care</t>
  </si>
  <si>
    <t>2110-5820</t>
  </si>
  <si>
    <t>Journal of Applied Volcanology</t>
  </si>
  <si>
    <t>2191-5040</t>
  </si>
  <si>
    <t>Irish Veterinary Journal</t>
  </si>
  <si>
    <t>2046-0481</t>
  </si>
  <si>
    <t>EURASIP Journal on Advances in Signal Processing</t>
  </si>
  <si>
    <t>1687-6180</t>
  </si>
  <si>
    <t>EURASIP Journal on Information Security</t>
  </si>
  <si>
    <t>2510-523X</t>
  </si>
  <si>
    <t>EURASIP Journal on Audio, Speech, and Music Processing</t>
  </si>
  <si>
    <t>1687-4722</t>
  </si>
  <si>
    <t>EURASIP Journal on Wireless Communications and Networking</t>
  </si>
  <si>
    <t>1687-1499</t>
  </si>
  <si>
    <t>EURASIP Journal on Image and Video Processing</t>
  </si>
  <si>
    <t>1687-5281</t>
  </si>
  <si>
    <t>Systematic Reviews</t>
  </si>
  <si>
    <t>2046-4053</t>
  </si>
  <si>
    <t>Journal of Inequalities and Applications</t>
  </si>
  <si>
    <t>1029-242X</t>
  </si>
  <si>
    <t>Boundary Value Problems</t>
  </si>
  <si>
    <t>1687-2770</t>
  </si>
  <si>
    <t>Advances in Continuous and Discrete Models</t>
  </si>
  <si>
    <t>2731-4235</t>
  </si>
  <si>
    <t>Fixed Point Theory and Algorithms for Sciences and Engineering</t>
  </si>
  <si>
    <t>2730-5422</t>
  </si>
  <si>
    <t>Journal of Cloud Computing</t>
  </si>
  <si>
    <t>2192-113X</t>
  </si>
  <si>
    <t>EPJ Data Science</t>
  </si>
  <si>
    <t>2193-1127</t>
  </si>
  <si>
    <t>Archives of Public Health</t>
  </si>
  <si>
    <t>2049-3258</t>
  </si>
  <si>
    <t>Energy, Sustainability and Society</t>
  </si>
  <si>
    <t>2192-0567</t>
  </si>
  <si>
    <t>Ecological Processes</t>
  </si>
  <si>
    <t>2192-1709</t>
  </si>
  <si>
    <t>Addiction Science &amp; Clinical Practice</t>
  </si>
  <si>
    <t>1940-0640</t>
  </si>
  <si>
    <t>Journal of Innovation and Entrepreneurship</t>
  </si>
  <si>
    <t>2192-5372</t>
  </si>
  <si>
    <t>Perioperative Medicine</t>
  </si>
  <si>
    <t>2047-0525</t>
  </si>
  <si>
    <t>Environmental Evidence</t>
  </si>
  <si>
    <t>2047-2382</t>
  </si>
  <si>
    <t>Antimicrobial Resistance &amp; Infection Control</t>
  </si>
  <si>
    <t>2047-2994</t>
  </si>
  <si>
    <t>Applied Biological Chemistry</t>
  </si>
  <si>
    <t>2468-0842</t>
  </si>
  <si>
    <t>European Journal of Medical Research</t>
  </si>
  <si>
    <t>2047-783X</t>
  </si>
  <si>
    <t>Journal of Economic Structures</t>
  </si>
  <si>
    <t>2193-2409</t>
  </si>
  <si>
    <t>Science, Humanities and Social Sciences, multidisciplinary</t>
  </si>
  <si>
    <t>Translational Neurodegeneration</t>
  </si>
  <si>
    <t>2047-9158</t>
  </si>
  <si>
    <t>Agriculture &amp; Food Security</t>
  </si>
  <si>
    <t>2048-7010</t>
  </si>
  <si>
    <t>Environmental Systems Research</t>
  </si>
  <si>
    <t>2193-2697</t>
  </si>
  <si>
    <t>International Journal of Concrete Structures and Materials</t>
  </si>
  <si>
    <t>2234-1315</t>
  </si>
  <si>
    <t>Agricultural and Food Economics</t>
  </si>
  <si>
    <t>2193-7532</t>
  </si>
  <si>
    <t>Journal of physiological anthropology</t>
  </si>
  <si>
    <t>1880-6805</t>
  </si>
  <si>
    <t>Journal of Animal Science and Biotechnology</t>
  </si>
  <si>
    <t>2049-1891</t>
  </si>
  <si>
    <t>Crime Science</t>
  </si>
  <si>
    <t>2193-7680</t>
  </si>
  <si>
    <t>Experimental Hematology &amp; Oncology</t>
  </si>
  <si>
    <t>2162-3619</t>
  </si>
  <si>
    <t>Microbiome</t>
  </si>
  <si>
    <t>2049-2618</t>
  </si>
  <si>
    <t>Cancer &amp; Metabolism</t>
  </si>
  <si>
    <t>2049-3002</t>
  </si>
  <si>
    <t>Materials for Renewable and Sustainable Energy</t>
  </si>
  <si>
    <t>2194-1467</t>
  </si>
  <si>
    <t>Human Genomics</t>
  </si>
  <si>
    <t>1479-7364</t>
  </si>
  <si>
    <t>Infectious Diseases of Poverty</t>
  </si>
  <si>
    <t>2049-9957</t>
  </si>
  <si>
    <t>European Journal of Futures Research</t>
  </si>
  <si>
    <t>2195-2248</t>
  </si>
  <si>
    <t>Animal Biotelemetry</t>
  </si>
  <si>
    <t>2050-3385</t>
  </si>
  <si>
    <t>Advanced Modeling and Simulation in Engineering Sciences</t>
  </si>
  <si>
    <t>2213-7467</t>
  </si>
  <si>
    <t>Journal of Eating Disorders</t>
  </si>
  <si>
    <t>2050-2974</t>
  </si>
  <si>
    <t>International Journal of Bipolar Disorders</t>
  </si>
  <si>
    <t>2194-7511</t>
  </si>
  <si>
    <t>Molecular and Cellular Pediatrics</t>
  </si>
  <si>
    <t>2194-7791</t>
  </si>
  <si>
    <t>Health &amp; Justice</t>
  </si>
  <si>
    <t>2194-7899</t>
  </si>
  <si>
    <t>BMC Psychology</t>
  </si>
  <si>
    <t>2050-7283</t>
  </si>
  <si>
    <t>BMC Pharmacology and Toxicology</t>
  </si>
  <si>
    <t>2050-6511</t>
  </si>
  <si>
    <t>Biomarker Research</t>
  </si>
  <si>
    <t>2050-7771</t>
  </si>
  <si>
    <t>City, Territory and Architecture</t>
  </si>
  <si>
    <t>2195-2701</t>
  </si>
  <si>
    <t>Movement Ecology</t>
  </si>
  <si>
    <t>2051-3933</t>
  </si>
  <si>
    <t>Language Testing in Asia</t>
  </si>
  <si>
    <t>2229-0443</t>
  </si>
  <si>
    <t>Acta Neuropathologica Communications</t>
  </si>
  <si>
    <t>2051-5960</t>
  </si>
  <si>
    <t>Borderline Personality Disorder and Emotion Dysregulation</t>
  </si>
  <si>
    <t>2051-6673</t>
  </si>
  <si>
    <t>EPJ Techniques and Instrumentation</t>
  </si>
  <si>
    <t>2195-7045</t>
  </si>
  <si>
    <t>Micro and Nano Systems Letters</t>
  </si>
  <si>
    <t>2213-9621</t>
  </si>
  <si>
    <t>npj heritage science</t>
  </si>
  <si>
    <t>3059-3220</t>
  </si>
  <si>
    <t>EPJ Quantum Technology</t>
  </si>
  <si>
    <t>2196-0763</t>
  </si>
  <si>
    <t>Progress in Orthodontics</t>
  </si>
  <si>
    <t>2196-1042</t>
  </si>
  <si>
    <t>Geothermal Energy</t>
  </si>
  <si>
    <t>2195-9706</t>
  </si>
  <si>
    <t>Eating and Weight Disorders - Studies on Anorexia, Bulimia and Obesity</t>
  </si>
  <si>
    <t>1590-1262</t>
  </si>
  <si>
    <t>Aging Clinical and Experimental Research</t>
  </si>
  <si>
    <t>1720-8319</t>
  </si>
  <si>
    <t>Botanical Studies</t>
  </si>
  <si>
    <t>1999-3110</t>
  </si>
  <si>
    <t>Journal of Big Data</t>
  </si>
  <si>
    <t>2196-1115</t>
  </si>
  <si>
    <t>Chemical and Biological Technologies in Agriculture</t>
  </si>
  <si>
    <t>2196-5641</t>
  </si>
  <si>
    <t>Journal of Analytical Science and Technology</t>
  </si>
  <si>
    <t>2093-3371</t>
  </si>
  <si>
    <t>Food Safety and Risk</t>
  </si>
  <si>
    <t>2731-9245</t>
  </si>
  <si>
    <t>Journal of Intensive Care</t>
  </si>
  <si>
    <t>2052-0492</t>
  </si>
  <si>
    <t>Smart Learning Environments</t>
  </si>
  <si>
    <t>2196-7091</t>
  </si>
  <si>
    <t>Geoscience Letters</t>
  </si>
  <si>
    <t>2196-4092</t>
  </si>
  <si>
    <t>Companion Animal Health and Genetics</t>
  </si>
  <si>
    <t>3059-3255</t>
  </si>
  <si>
    <t>Nano Convergence</t>
  </si>
  <si>
    <t>2196-5404</t>
  </si>
  <si>
    <t>International Journal of STEM Education</t>
  </si>
  <si>
    <t>2196-7822</t>
  </si>
  <si>
    <t>Injury Epidemiology</t>
  </si>
  <si>
    <t>2197-1714</t>
  </si>
  <si>
    <t>Earth, Planets and Space</t>
  </si>
  <si>
    <t>1880-5981</t>
  </si>
  <si>
    <t>Intensive Care Medicine Experimental</t>
  </si>
  <si>
    <t>2197-425X</t>
  </si>
  <si>
    <t>Bioresources and Bioprocessing</t>
  </si>
  <si>
    <t>2197-4365</t>
  </si>
  <si>
    <t>Cancer Imaging</t>
  </si>
  <si>
    <t>1470-7330</t>
  </si>
  <si>
    <t>Progress in Earth and Planetary Science</t>
  </si>
  <si>
    <t>2197-4284</t>
  </si>
  <si>
    <t>ROBOMECH Journal</t>
  </si>
  <si>
    <t>2197-4225</t>
  </si>
  <si>
    <t>EJNMMI Physics</t>
  </si>
  <si>
    <t>2197-7364</t>
  </si>
  <si>
    <t>Biological Research</t>
  </si>
  <si>
    <t>0717-6287</t>
  </si>
  <si>
    <t>Eye and Vision</t>
  </si>
  <si>
    <t>2326-0254</t>
  </si>
  <si>
    <t>Geoenvironmental Disasters</t>
  </si>
  <si>
    <t>2197-8670</t>
  </si>
  <si>
    <t>Fashion and Textiles</t>
  </si>
  <si>
    <t>2198-0802</t>
  </si>
  <si>
    <t>Revista Chilena de Historia Natural</t>
  </si>
  <si>
    <t>0717-6317</t>
  </si>
  <si>
    <t>Fungal Biology and Biotechnology</t>
  </si>
  <si>
    <t>2054-3085</t>
  </si>
  <si>
    <t>International Journal of Geo-Engineering</t>
  </si>
  <si>
    <t>2198-2783</t>
  </si>
  <si>
    <t>Brain Informatics</t>
  </si>
  <si>
    <t>2198-4026</t>
  </si>
  <si>
    <t>Journal of Materials Science: Materials in Engineering</t>
  </si>
  <si>
    <t>3004-8958</t>
  </si>
  <si>
    <t>International Journal of Implant Dentistry</t>
  </si>
  <si>
    <t>2198-4034</t>
  </si>
  <si>
    <t>complex &amp; intelligent systems</t>
  </si>
  <si>
    <t>2198-6053</t>
  </si>
  <si>
    <t>Maternal Health, Neonatology and Perinatology</t>
  </si>
  <si>
    <t>2054-958X</t>
  </si>
  <si>
    <t>Journal of Pharmaceutical Health Care and Sciences</t>
  </si>
  <si>
    <t>2055-0294</t>
  </si>
  <si>
    <t>Environmental Microbiome</t>
  </si>
  <si>
    <t>2524-6372</t>
  </si>
  <si>
    <t>Tropical Diseases, Travel Medicine and Vaccines</t>
  </si>
  <si>
    <t>2055-0936</t>
  </si>
  <si>
    <t>BMC Nutrition</t>
  </si>
  <si>
    <t>2055-0928</t>
  </si>
  <si>
    <t>Sports Medicine - Open</t>
  </si>
  <si>
    <t>2198-9761</t>
  </si>
  <si>
    <t>Sustainable Energy Research</t>
  </si>
  <si>
    <t>2731-9237</t>
  </si>
  <si>
    <t>Porcine Health Management</t>
  </si>
  <si>
    <t>2055-5660</t>
  </si>
  <si>
    <t>Pilot and Feasibility Studies</t>
  </si>
  <si>
    <t>2055-5784</t>
  </si>
  <si>
    <t>Nano-Micro Letters</t>
  </si>
  <si>
    <t>2150-5551</t>
  </si>
  <si>
    <t>Contraception and Reproductive Medicine</t>
  </si>
  <si>
    <t>2055-7426</t>
  </si>
  <si>
    <t>Cardiovascular Diabetology – Endocrinology Reports</t>
  </si>
  <si>
    <t>3059-4057</t>
  </si>
  <si>
    <t>BMC Zoology</t>
  </si>
  <si>
    <t>2056-3132</t>
  </si>
  <si>
    <t>Zoological Letters</t>
  </si>
  <si>
    <t>2056-306X</t>
  </si>
  <si>
    <t>Asian-Pacific Journal of Second and Foreign Language Education</t>
  </si>
  <si>
    <t>2363-5169</t>
  </si>
  <si>
    <t>Urban Rail Transit</t>
  </si>
  <si>
    <t>2199-6679</t>
  </si>
  <si>
    <t>Comparative Migration Studies</t>
  </si>
  <si>
    <t>2214-594X</t>
  </si>
  <si>
    <t>Research Involvement and Engagement</t>
  </si>
  <si>
    <t>2056-7529</t>
  </si>
  <si>
    <t>Maxillofacial Plastic and Reconstructive Surgery</t>
  </si>
  <si>
    <t>2288-8586</t>
  </si>
  <si>
    <t>International Journal of Retina and Vitreous</t>
  </si>
  <si>
    <t>2056-9920</t>
  </si>
  <si>
    <t>Geomechanics and Geophysics for Geo-Energy and Geo-Resources</t>
  </si>
  <si>
    <t>2363-8427</t>
  </si>
  <si>
    <t>Zeitschrift für Weiterbildungsforschung</t>
  </si>
  <si>
    <t>2364-0022</t>
  </si>
  <si>
    <t>Cardio-Oncology</t>
  </si>
  <si>
    <t>2057-3804</t>
  </si>
  <si>
    <t>International Journal for Educational Integrity</t>
  </si>
  <si>
    <t>1833-2595</t>
  </si>
  <si>
    <t>JA Clinical Reports</t>
  </si>
  <si>
    <t>2363-9024</t>
  </si>
  <si>
    <t>Journal of Sustainable Business</t>
  </si>
  <si>
    <t>3059-3174</t>
  </si>
  <si>
    <t>Journal of International Humanitarian Action</t>
  </si>
  <si>
    <t>2364-3404</t>
  </si>
  <si>
    <t>Data Science and Engineering</t>
  </si>
  <si>
    <t>2364-1541</t>
  </si>
  <si>
    <t>Genes and Environment</t>
  </si>
  <si>
    <t>1880-7062</t>
  </si>
  <si>
    <t>Journal of Health, Population and Nutrition</t>
  </si>
  <si>
    <t>2072-1315</t>
  </si>
  <si>
    <t>Hereditas</t>
  </si>
  <si>
    <t>1601-5223</t>
  </si>
  <si>
    <t>Journal of Shipping and Trade</t>
  </si>
  <si>
    <t>2364-4575</t>
  </si>
  <si>
    <t>Research Integrity and Peer Review</t>
  </si>
  <si>
    <t>2058-8615</t>
  </si>
  <si>
    <t>Advances in Simulation</t>
  </si>
  <si>
    <t>2059-0628</t>
  </si>
  <si>
    <t>Automotive and Engine Technology</t>
  </si>
  <si>
    <t>2365-5135</t>
  </si>
  <si>
    <t>Applied Network Science</t>
  </si>
  <si>
    <t>2364-8228</t>
  </si>
  <si>
    <t>Genus</t>
  </si>
  <si>
    <t>2035-5556</t>
  </si>
  <si>
    <t>AAPS Open</t>
  </si>
  <si>
    <t>2364-9534</t>
  </si>
  <si>
    <t>Psicologia: Reflexão e Crítica</t>
  </si>
  <si>
    <t>1678-7153</t>
  </si>
  <si>
    <t>EJNMMI Radiopharmacy and Chemistry</t>
  </si>
  <si>
    <t>2365-421X</t>
  </si>
  <si>
    <t>Tropical Medicine and Health</t>
  </si>
  <si>
    <t>1349-4147</t>
  </si>
  <si>
    <t>3D Printing in Medicine</t>
  </si>
  <si>
    <t>2365-6271</t>
  </si>
  <si>
    <t>Inflammation and Regeneration</t>
  </si>
  <si>
    <t>1880-8190</t>
  </si>
  <si>
    <t>Cognitive Research: Principles and Implications</t>
  </si>
  <si>
    <t>2365-7464</t>
  </si>
  <si>
    <t>Global Health Research and Policy</t>
  </si>
  <si>
    <t>2397-0642</t>
  </si>
  <si>
    <t>Journal of Materials Science: Materials Theory</t>
  </si>
  <si>
    <t>3004-8966</t>
  </si>
  <si>
    <t>Journal of Transformative Technologies and Sustainable Development</t>
  </si>
  <si>
    <t>3059-3336</t>
  </si>
  <si>
    <t>International Journal of Oral Science</t>
  </si>
  <si>
    <t>2049-3169</t>
  </si>
  <si>
    <t>Light: Science &amp; Applications</t>
  </si>
  <si>
    <t>2047-7538</t>
  </si>
  <si>
    <t>Microsystems &amp; Nanoengineering</t>
  </si>
  <si>
    <t>2055-7434</t>
  </si>
  <si>
    <t>Nutrition &amp; Diabetes</t>
  </si>
  <si>
    <t>2044-4052</t>
  </si>
  <si>
    <t>Oncogenesis</t>
  </si>
  <si>
    <t>2157-9024</t>
  </si>
  <si>
    <t>Signal Transduction and Targeted Therapy</t>
  </si>
  <si>
    <t>2059-3635</t>
  </si>
  <si>
    <t>Translational Psychiatry</t>
  </si>
  <si>
    <t>2158-3188</t>
  </si>
  <si>
    <t>BDJ Open</t>
  </si>
  <si>
    <t>2056-807X</t>
  </si>
  <si>
    <t>Blood Cancer Journal</t>
  </si>
  <si>
    <t>2044-5385</t>
  </si>
  <si>
    <t>Bone Research</t>
  </si>
  <si>
    <t>2095-6231</t>
  </si>
  <si>
    <t>Cell Death &amp; Disease</t>
  </si>
  <si>
    <t>2041-4889</t>
  </si>
  <si>
    <t>Cell Death Discovery</t>
  </si>
  <si>
    <t>2058-7716</t>
  </si>
  <si>
    <t>Cell Discovery</t>
  </si>
  <si>
    <t>2056-5968</t>
  </si>
  <si>
    <t>NPG Asia Materials</t>
  </si>
  <si>
    <t>1884-4057</t>
  </si>
  <si>
    <t>Human Genome Variation</t>
  </si>
  <si>
    <t>2054-345X</t>
  </si>
  <si>
    <t>Nature Communications</t>
  </si>
  <si>
    <t>2041-1723</t>
  </si>
  <si>
    <t>Pneumonia</t>
  </si>
  <si>
    <t>2200-6133</t>
  </si>
  <si>
    <t>Diagnostic and Prognostic Research</t>
  </si>
  <si>
    <t>2397-7523</t>
  </si>
  <si>
    <t>npj Aging</t>
  </si>
  <si>
    <t>2731-6068</t>
  </si>
  <si>
    <t>npj Biofilms and Microbiomes</t>
  </si>
  <si>
    <t>2055-5008</t>
  </si>
  <si>
    <t>npj Breast Cancer</t>
  </si>
  <si>
    <t>2374-4677</t>
  </si>
  <si>
    <t>npj Computational Materials</t>
  </si>
  <si>
    <t>2057-3960</t>
  </si>
  <si>
    <t>npj Genomic Medicine</t>
  </si>
  <si>
    <t>2056-7944</t>
  </si>
  <si>
    <t>npj Microgravity</t>
  </si>
  <si>
    <t>2373-8065</t>
  </si>
  <si>
    <t>npj Flexible Electronics</t>
  </si>
  <si>
    <t>2397-4621</t>
  </si>
  <si>
    <t>npj Materials Degradation</t>
  </si>
  <si>
    <t>2397-2106</t>
  </si>
  <si>
    <t>npj Parkinson's disease</t>
  </si>
  <si>
    <t>2373-8057</t>
  </si>
  <si>
    <t>npj Primary Care Respiratory Medicine</t>
  </si>
  <si>
    <t>2055-1010</t>
  </si>
  <si>
    <t>npj Quantum Information</t>
  </si>
  <si>
    <t>2056-6387</t>
  </si>
  <si>
    <t>npj Quantum Materials</t>
  </si>
  <si>
    <t>2397-4648</t>
  </si>
  <si>
    <t>npj Regenerative Medicine</t>
  </si>
  <si>
    <t>2057-3995</t>
  </si>
  <si>
    <t>Schizophrenia</t>
  </si>
  <si>
    <t>2754-6993</t>
  </si>
  <si>
    <t>npj Science of Food</t>
  </si>
  <si>
    <t>2396-8370</t>
  </si>
  <si>
    <t>npj Science of Learning</t>
  </si>
  <si>
    <t>2056-7936</t>
  </si>
  <si>
    <t>npj Systems Biology and Applications</t>
  </si>
  <si>
    <t>2056-7189</t>
  </si>
  <si>
    <t>npj Vaccines</t>
  </si>
  <si>
    <t>2059-0105</t>
  </si>
  <si>
    <t>npj Clean Water</t>
  </si>
  <si>
    <t>2059-7037</t>
  </si>
  <si>
    <t>Scientific Data</t>
  </si>
  <si>
    <t>2052-4463</t>
  </si>
  <si>
    <t>Scientific Reports</t>
  </si>
  <si>
    <t>2045-2322</t>
  </si>
  <si>
    <t>Humanities and Social Sciences Communications</t>
  </si>
  <si>
    <t>2662-9992</t>
  </si>
  <si>
    <t>Sleep Science and Practice</t>
  </si>
  <si>
    <t>2398-2683</t>
  </si>
  <si>
    <t>npj Climate and Atmospheric Science</t>
  </si>
  <si>
    <t>2397-3722</t>
  </si>
  <si>
    <t>Journal of Patient-Reported Outcomes</t>
  </si>
  <si>
    <t>2509-8020</t>
  </si>
  <si>
    <t>npj Precision Oncology</t>
  </si>
  <si>
    <t>2397-768X</t>
  </si>
  <si>
    <t>npj 2D Materials and Applications</t>
  </si>
  <si>
    <t>2397-7132</t>
  </si>
  <si>
    <t>npj Digital Medicine</t>
  </si>
  <si>
    <t>2398-6352</t>
  </si>
  <si>
    <t>European Radiology Experimental</t>
  </si>
  <si>
    <t>2509-9280</t>
  </si>
  <si>
    <t>Computing and Software for Big Science</t>
  </si>
  <si>
    <t>2510-2044</t>
  </si>
  <si>
    <t>EJNMMI Reports</t>
  </si>
  <si>
    <t>3005-074X</t>
  </si>
  <si>
    <t>Cambridge Journal of Evidence-Based Policing</t>
  </si>
  <si>
    <t>2520-1336</t>
  </si>
  <si>
    <t>BMC Rheumatology</t>
  </si>
  <si>
    <t>2520-1026</t>
  </si>
  <si>
    <t>Egyptian Journal of Biological Pest Control</t>
  </si>
  <si>
    <t>2536-9342</t>
  </si>
  <si>
    <t>Communications Biology</t>
  </si>
  <si>
    <t>2399-3642</t>
  </si>
  <si>
    <t>Communications Chemistry</t>
  </si>
  <si>
    <t>2399-3669</t>
  </si>
  <si>
    <t>Communications Physics</t>
  </si>
  <si>
    <t>2399-3650</t>
  </si>
  <si>
    <t>Sustainable Earth Reviews</t>
  </si>
  <si>
    <t>2520-8748</t>
  </si>
  <si>
    <t>Advanced Composites and Hybrid Materials</t>
  </si>
  <si>
    <t>2522-0136</t>
  </si>
  <si>
    <t>CVIR Endovascular</t>
  </si>
  <si>
    <t>2520-8934</t>
  </si>
  <si>
    <t>Energy Informatics</t>
  </si>
  <si>
    <t>2520-8942</t>
  </si>
  <si>
    <t>Bioelectronic Medicine</t>
  </si>
  <si>
    <t>2332-8886</t>
  </si>
  <si>
    <t>Journal of Cannabis Research</t>
  </si>
  <si>
    <t>2522-5782</t>
  </si>
  <si>
    <t>Journal of Materials Science: Composites</t>
  </si>
  <si>
    <t>3059-3212</t>
  </si>
  <si>
    <t>Advances in Rheumatology</t>
  </si>
  <si>
    <t>2523-3106</t>
  </si>
  <si>
    <t>Fire Ecology</t>
  </si>
  <si>
    <t>1933-9747</t>
  </si>
  <si>
    <t>Discover Applied Sciences</t>
  </si>
  <si>
    <t>3004-9261</t>
  </si>
  <si>
    <t>Neurological Research and Practice</t>
  </si>
  <si>
    <t>2524-3489</t>
  </si>
  <si>
    <t>AI Perspectives &amp; Advances</t>
  </si>
  <si>
    <t>2948-2143</t>
  </si>
  <si>
    <t>Phytopathology Research</t>
  </si>
  <si>
    <t>2524-4167</t>
  </si>
  <si>
    <t>BMC Biomedical Engineering</t>
  </si>
  <si>
    <t>2524-4426</t>
  </si>
  <si>
    <t>Journal of the Egyptian Public Health Association</t>
  </si>
  <si>
    <t>2090-262x</t>
  </si>
  <si>
    <t>One Health Outlook</t>
  </si>
  <si>
    <t>2524-4655</t>
  </si>
  <si>
    <t>Animal Microbiome</t>
  </si>
  <si>
    <t>2524-4671</t>
  </si>
  <si>
    <t>Applied Microscopy</t>
  </si>
  <si>
    <t>2287-4445</t>
  </si>
  <si>
    <t>Biochar</t>
  </si>
  <si>
    <t>2524-7867</t>
  </si>
  <si>
    <t>Sustainable Environment Research</t>
  </si>
  <si>
    <t>2468-2039</t>
  </si>
  <si>
    <t>Arthroplasty</t>
  </si>
  <si>
    <t>2524-7948</t>
  </si>
  <si>
    <t>Urban Transformations</t>
  </si>
  <si>
    <t>2524-8162</t>
  </si>
  <si>
    <t>npj Urban Sustainability</t>
  </si>
  <si>
    <t>2661-8001</t>
  </si>
  <si>
    <t>Food Production, Processing and Nutrition</t>
  </si>
  <si>
    <t>2661-8974</t>
  </si>
  <si>
    <t>Implementation Science Communications</t>
  </si>
  <si>
    <t>2662-2211</t>
  </si>
  <si>
    <t>Journal of Infrastructure Preservation and Resilience</t>
  </si>
  <si>
    <t>2662-2521</t>
  </si>
  <si>
    <t>PhotoniX</t>
  </si>
  <si>
    <t>2662-1991</t>
  </si>
  <si>
    <t>Beni-Suef University Journal of Basic and Applied Sciences</t>
  </si>
  <si>
    <t>2314-8543</t>
  </si>
  <si>
    <t>Future Journal of Pharmaceutical Sciences</t>
  </si>
  <si>
    <t>2314-7253</t>
  </si>
  <si>
    <t>Communications Materials</t>
  </si>
  <si>
    <t>2662-4443</t>
  </si>
  <si>
    <t>Communications Earth &amp; Environment</t>
  </si>
  <si>
    <t>2662-4435</t>
  </si>
  <si>
    <t>Molecular Biomedicine</t>
  </si>
  <si>
    <t>2662-8651</t>
  </si>
  <si>
    <t>Microplastics and Nanoplastics</t>
  </si>
  <si>
    <t>2662-4966</t>
  </si>
  <si>
    <t>Discover Sustainability</t>
  </si>
  <si>
    <t>2662-9984</t>
  </si>
  <si>
    <t>AAPPS Bulletin</t>
  </si>
  <si>
    <t>2309-4710</t>
  </si>
  <si>
    <t>Epigenetics Communications</t>
  </si>
  <si>
    <t>2730-7034</t>
  </si>
  <si>
    <t>Discover Water</t>
  </si>
  <si>
    <t>2730-647X</t>
  </si>
  <si>
    <t>Communications Medicine</t>
  </si>
  <si>
    <t>2730-664X</t>
  </si>
  <si>
    <t>Discover Internet of Things</t>
  </si>
  <si>
    <t>2730-7239</t>
  </si>
  <si>
    <t>Discover Energy</t>
  </si>
  <si>
    <t>2730-7719</t>
  </si>
  <si>
    <t>Discover Chemical Engineering</t>
  </si>
  <si>
    <t>2730-7700</t>
  </si>
  <si>
    <t>Discover Materials</t>
  </si>
  <si>
    <t>2730-7727</t>
  </si>
  <si>
    <t>Research in Health Services &amp; Regions</t>
  </si>
  <si>
    <t>2730-9827</t>
  </si>
  <si>
    <t>Discover Social Science and Health</t>
  </si>
  <si>
    <t>2731-0469</t>
  </si>
  <si>
    <t>Echo Research &amp; Practice</t>
  </si>
  <si>
    <t>2055-0464</t>
  </si>
  <si>
    <t>Journal of Anesthesia, Analgesia and Critical Care</t>
  </si>
  <si>
    <t>2731-3786</t>
  </si>
  <si>
    <t>Discover Artificial Intelligence</t>
  </si>
  <si>
    <t>2731-0809</t>
  </si>
  <si>
    <t>Journal of Activity, Sedentary and Sleep Behaviors</t>
  </si>
  <si>
    <t>2731-4391</t>
  </si>
  <si>
    <t>npj Climate Action</t>
  </si>
  <si>
    <t>2731-9814</t>
  </si>
  <si>
    <t>Communications Engineering</t>
  </si>
  <si>
    <t>2731-3395</t>
  </si>
  <si>
    <t>Green Technology, Resilience, and Sustainability</t>
  </si>
  <si>
    <t>2731-3425</t>
  </si>
  <si>
    <t>npj Robotics</t>
  </si>
  <si>
    <t>2731-4278</t>
  </si>
  <si>
    <t>npj Ocean Sustainability</t>
  </si>
  <si>
    <t>2731-426X</t>
  </si>
  <si>
    <t>npj Mental Health Research</t>
  </si>
  <si>
    <t>2731-4251</t>
  </si>
  <si>
    <t>npj Biodiversity</t>
  </si>
  <si>
    <t>2731-4243</t>
  </si>
  <si>
    <t>Discover Food</t>
  </si>
  <si>
    <t>2731-4286</t>
  </si>
  <si>
    <t>International Journal of Air-Conditioning and Refrigeration</t>
  </si>
  <si>
    <t>2010-1333</t>
  </si>
  <si>
    <t>Discover Mental Health</t>
  </si>
  <si>
    <t>2731-4383</t>
  </si>
  <si>
    <t>Terrestrial, Atmospheric and Oceanic Sciences</t>
  </si>
  <si>
    <t>2311-7680</t>
  </si>
  <si>
    <t>International Journal of Computational Intelligence Systems</t>
  </si>
  <si>
    <t>1875-6883</t>
  </si>
  <si>
    <t>Journal of Epidemiology and Global Health</t>
  </si>
  <si>
    <t>2210-6014</t>
  </si>
  <si>
    <t>Journal of Nonlinear Mathematical Physics</t>
  </si>
  <si>
    <t>1776-0852</t>
  </si>
  <si>
    <t>Journal of Statistical Theory and Applications</t>
  </si>
  <si>
    <t>2214-1766</t>
  </si>
  <si>
    <t>Artery Research</t>
  </si>
  <si>
    <t>1876-4401</t>
  </si>
  <si>
    <t>Discover Psychology</t>
  </si>
  <si>
    <t>2731-4537</t>
  </si>
  <si>
    <t>Discover Epidemics</t>
  </si>
  <si>
    <t>2731-4545</t>
  </si>
  <si>
    <t>Journal of Electric Propulsion</t>
  </si>
  <si>
    <t>2731-4596</t>
  </si>
  <si>
    <t>Computational Science and Engineering</t>
  </si>
  <si>
    <t>2948-1597</t>
  </si>
  <si>
    <t>City and Built Environment</t>
  </si>
  <si>
    <t>2435-7936</t>
  </si>
  <si>
    <t>General Thoracic and Cardiovascular Surgery Cases</t>
  </si>
  <si>
    <t>2731-6203</t>
  </si>
  <si>
    <t>Discover Education</t>
  </si>
  <si>
    <t>2731-5525</t>
  </si>
  <si>
    <t>International Journal of Networked and Distributed Computing</t>
  </si>
  <si>
    <t>2211-7946</t>
  </si>
  <si>
    <t>Industrial Artificial Intelligence</t>
  </si>
  <si>
    <t>2731-667X</t>
  </si>
  <si>
    <t>Discover Mechanical Engineering</t>
  </si>
  <si>
    <t>2731-6564</t>
  </si>
  <si>
    <t>BMC Digital Health</t>
  </si>
  <si>
    <t>2731-684X</t>
  </si>
  <si>
    <t>Discover Data</t>
  </si>
  <si>
    <t>2731-6955</t>
  </si>
  <si>
    <t>Discover Health Systems</t>
  </si>
  <si>
    <t>2731-7501</t>
  </si>
  <si>
    <t>Intensive Care Medicine – Paediatric and Neonatal</t>
  </si>
  <si>
    <t>2731-944X</t>
  </si>
  <si>
    <t>Discover Analytics</t>
  </si>
  <si>
    <t>2731-8117</t>
  </si>
  <si>
    <t>npj Antimicrobials and Resistance</t>
  </si>
  <si>
    <t>2731-8745</t>
  </si>
  <si>
    <t>npj Complexity</t>
  </si>
  <si>
    <t>2731-8753</t>
  </si>
  <si>
    <t>BMC Global and Public Health</t>
  </si>
  <si>
    <t>2731-913X</t>
  </si>
  <si>
    <t>npj Sustainable Agriculture</t>
  </si>
  <si>
    <t>2731-9202</t>
  </si>
  <si>
    <t>Communications Psychology</t>
  </si>
  <si>
    <t>2731-9121</t>
  </si>
  <si>
    <t>Asian Journal of Atmospheric Environment</t>
  </si>
  <si>
    <t>2287-1160</t>
  </si>
  <si>
    <t>Discover Environment</t>
  </si>
  <si>
    <t>2731-9431</t>
  </si>
  <si>
    <t>BJC Reports</t>
  </si>
  <si>
    <t>2731-9377</t>
  </si>
  <si>
    <t>NPP—Digital Psychiatry and Neuroscience</t>
  </si>
  <si>
    <t>2948-1570</t>
  </si>
  <si>
    <t>Discover Agriculture</t>
  </si>
  <si>
    <t>2731-9598</t>
  </si>
  <si>
    <t>Discover Global Society</t>
  </si>
  <si>
    <t>2731-9687</t>
  </si>
  <si>
    <t>Discover Atmosphere</t>
  </si>
  <si>
    <t>2948-1554</t>
  </si>
  <si>
    <t>npj Women's Health</t>
  </si>
  <si>
    <t>2948-1716</t>
  </si>
  <si>
    <t>npj Materials Sustainability</t>
  </si>
  <si>
    <t>2948-1775</t>
  </si>
  <si>
    <t>npj Viruses</t>
  </si>
  <si>
    <t>2948-1767</t>
  </si>
  <si>
    <t>Health Nanotechnology</t>
  </si>
  <si>
    <t>2948-1937</t>
  </si>
  <si>
    <t>npj Imaging</t>
  </si>
  <si>
    <t>2948-197X</t>
  </si>
  <si>
    <t>npj Natural Hazards</t>
  </si>
  <si>
    <t>2948-2100</t>
  </si>
  <si>
    <t>npj Spintronics</t>
  </si>
  <si>
    <t>2948-2119</t>
  </si>
  <si>
    <t>Journal of Materials Science: Materials in Energy</t>
  </si>
  <si>
    <t>2948-2151</t>
  </si>
  <si>
    <t>npj Nanophotonics</t>
  </si>
  <si>
    <t>2948-216X</t>
  </si>
  <si>
    <t>Process Science</t>
  </si>
  <si>
    <t>2948-2178</t>
  </si>
  <si>
    <t>Blood Research</t>
  </si>
  <si>
    <t>2288-0011</t>
  </si>
  <si>
    <t>Biotechnology for the Environment</t>
  </si>
  <si>
    <t>2948-2356</t>
  </si>
  <si>
    <t>Blue Biotechnology</t>
  </si>
  <si>
    <t>2948-2364</t>
  </si>
  <si>
    <t>Biotechnology for Sustainable Materials</t>
  </si>
  <si>
    <t>2948-2348</t>
  </si>
  <si>
    <t>The EMBO Journal</t>
  </si>
  <si>
    <t>1460-2075</t>
  </si>
  <si>
    <t>EMBO Reports</t>
  </si>
  <si>
    <t>1469-3178</t>
  </si>
  <si>
    <t>Molecular Systems Biology</t>
  </si>
  <si>
    <t>1744-4292</t>
  </si>
  <si>
    <t>EMBO Molecular Medicine</t>
  </si>
  <si>
    <t>1757-4684</t>
  </si>
  <si>
    <t>Journal of New Approaches in Educational Research</t>
  </si>
  <si>
    <t>2254-7339</t>
  </si>
  <si>
    <t>npj Biological Timing and Sleep</t>
  </si>
  <si>
    <t>2948-281X</t>
  </si>
  <si>
    <t>npj Metabolic Health and Disease</t>
  </si>
  <si>
    <t>2948-2828</t>
  </si>
  <si>
    <t>npj Cardiovascular Health</t>
  </si>
  <si>
    <t>2948-2836</t>
  </si>
  <si>
    <t>Journal of Medical Imaging and Interventional Radiology</t>
  </si>
  <si>
    <t>3004-8613</t>
  </si>
  <si>
    <t>npj Biosensing</t>
  </si>
  <si>
    <t>3004-8656</t>
  </si>
  <si>
    <t>BMC Environmental Science</t>
  </si>
  <si>
    <t>3004-8710</t>
  </si>
  <si>
    <t>BMC Methods</t>
  </si>
  <si>
    <t>3004-8729</t>
  </si>
  <si>
    <t>Bioscience Nanotechnology</t>
  </si>
  <si>
    <t>3004-8648</t>
  </si>
  <si>
    <t>npj Sustainable Mobility and Transport</t>
  </si>
  <si>
    <t>3004-8664</t>
  </si>
  <si>
    <t>npj Advanced Manufacturing</t>
  </si>
  <si>
    <t>3004-8621</t>
  </si>
  <si>
    <t>npj Unconventional Computing</t>
  </si>
  <si>
    <t>3004-8672</t>
  </si>
  <si>
    <t>Discover Medicine</t>
  </si>
  <si>
    <t>3004-8885</t>
  </si>
  <si>
    <t>Discover Animals</t>
  </si>
  <si>
    <t>3004-894X</t>
  </si>
  <si>
    <t>Discover Toxicology</t>
  </si>
  <si>
    <t>3004-8893</t>
  </si>
  <si>
    <t>Discover Biotechnology</t>
  </si>
  <si>
    <t>3004-8907</t>
  </si>
  <si>
    <t>npj Biological Physics and Mechanics</t>
  </si>
  <si>
    <t>3004-863X</t>
  </si>
  <si>
    <t>Genomics &amp; Informatics</t>
  </si>
  <si>
    <t>2234-0742</t>
  </si>
  <si>
    <t>CVIR Oncology</t>
  </si>
  <si>
    <t>3059-2003</t>
  </si>
  <si>
    <t>Discover Catalysis</t>
  </si>
  <si>
    <t>3004-9520</t>
  </si>
  <si>
    <t>Discover Molecules</t>
  </si>
  <si>
    <t>3004-9350</t>
  </si>
  <si>
    <t>Discover Minerals</t>
  </si>
  <si>
    <t>3004-9369</t>
  </si>
  <si>
    <t>Discover Polymers</t>
  </si>
  <si>
    <t>3004-9377</t>
  </si>
  <si>
    <t>Journal of Cardiovascular Imaging</t>
  </si>
  <si>
    <t>2586-7296</t>
  </si>
  <si>
    <t>Mycobacteria</t>
  </si>
  <si>
    <t>3004-9555</t>
  </si>
  <si>
    <t>Discover Bacteria</t>
  </si>
  <si>
    <t>3004-9768</t>
  </si>
  <si>
    <t>Discover Imaging</t>
  </si>
  <si>
    <t>3004-9776</t>
  </si>
  <si>
    <t>Discover Conservation</t>
  </si>
  <si>
    <t>3004-9784</t>
  </si>
  <si>
    <t>npj Gut and Liver</t>
  </si>
  <si>
    <t>3004-9806</t>
  </si>
  <si>
    <t>Veterinary Oncology</t>
  </si>
  <si>
    <t>3004-9814</t>
  </si>
  <si>
    <t>Dairy Science and Management</t>
  </si>
  <si>
    <t>3005-0707</t>
  </si>
  <si>
    <t>Poultry Science and Management</t>
  </si>
  <si>
    <t>3005-0715</t>
  </si>
  <si>
    <t>Aquaculture Science and Management</t>
  </si>
  <si>
    <t>3005-0723</t>
  </si>
  <si>
    <t>Journal of Disaster Science and Management</t>
  </si>
  <si>
    <t>3005-1746</t>
  </si>
  <si>
    <t>Discover Immunity</t>
  </si>
  <si>
    <t>3005-1185</t>
  </si>
  <si>
    <t>Discover Fluid Mechanics</t>
  </si>
  <si>
    <t>3059-3158</t>
  </si>
  <si>
    <t>Discover Viruses</t>
  </si>
  <si>
    <t>3005-0960</t>
  </si>
  <si>
    <t>Micro &amp; Nano Manufacturing</t>
  </si>
  <si>
    <t>3005-1495</t>
  </si>
  <si>
    <t>Ocean Microbiology</t>
  </si>
  <si>
    <t>3005-107X</t>
  </si>
  <si>
    <t>Phycology Journal</t>
  </si>
  <si>
    <t>3005-1150</t>
  </si>
  <si>
    <t>npj Science of Plants</t>
  </si>
  <si>
    <t>3005-1401</t>
  </si>
  <si>
    <t>npj Acoustics</t>
  </si>
  <si>
    <t>3005-141X</t>
  </si>
  <si>
    <t>npj Biomedical Innovations</t>
  </si>
  <si>
    <t>3005-1444</t>
  </si>
  <si>
    <t>npj Drug Discovery</t>
  </si>
  <si>
    <t>3005-1452</t>
  </si>
  <si>
    <t>npj Artificial Intelligence</t>
  </si>
  <si>
    <t>3005-1460</t>
  </si>
  <si>
    <t>SOLA</t>
  </si>
  <si>
    <t>1349-6476</t>
  </si>
  <si>
    <t>Journal of the Meteorological Society of Japan</t>
  </si>
  <si>
    <t>2186-9057</t>
  </si>
  <si>
    <t>Discover Pharmaceutical Sciences</t>
  </si>
  <si>
    <t>3005-1835</t>
  </si>
  <si>
    <t>Discover Ecology</t>
  </si>
  <si>
    <t>3005-1843</t>
  </si>
  <si>
    <t>BMC Artificial Intelligence</t>
  </si>
  <si>
    <t>3005-1924</t>
  </si>
  <si>
    <t>BMC Agriculture</t>
  </si>
  <si>
    <t>3005-1932</t>
  </si>
  <si>
    <t>npj Dementia</t>
  </si>
  <si>
    <t>3005-1940</t>
  </si>
  <si>
    <t>npj Health Systems</t>
  </si>
  <si>
    <t>3005-1959</t>
  </si>
  <si>
    <t>Food, Nutrition and Health</t>
  </si>
  <si>
    <t>3059-2658</t>
  </si>
  <si>
    <t>Advances in Industrial and Engineering Chemistry</t>
  </si>
  <si>
    <t>3059-3867</t>
  </si>
  <si>
    <t>npj Clean Energy</t>
  </si>
  <si>
    <t>3059-2232</t>
  </si>
  <si>
    <t>npj Clean Air</t>
  </si>
  <si>
    <t>3059-2240</t>
  </si>
  <si>
    <t>Aerosol and Air Quality Research</t>
  </si>
  <si>
    <t>2071-1409</t>
  </si>
  <si>
    <t>Performance Nutrition</t>
  </si>
  <si>
    <t>3059-2933</t>
  </si>
  <si>
    <t>WheatOmics</t>
  </si>
  <si>
    <t>3059-3484</t>
  </si>
  <si>
    <t>Innovative Surgical Trends</t>
  </si>
  <si>
    <t>3059-4723</t>
  </si>
  <si>
    <t>Discover Endocrinology and Metabolism</t>
  </si>
  <si>
    <t>3059-2682</t>
  </si>
  <si>
    <t>Discover Physics</t>
  </si>
  <si>
    <t>3059-2690</t>
  </si>
  <si>
    <t>Ocean Ecosystems</t>
  </si>
  <si>
    <t>3059-2941</t>
  </si>
  <si>
    <t>Clean Oceans</t>
  </si>
  <si>
    <t>3059-295X</t>
  </si>
  <si>
    <t>Catal</t>
  </si>
  <si>
    <t>3059-2801</t>
  </si>
  <si>
    <t>Innovations in Acupuncture and Medicine</t>
  </si>
  <si>
    <t>3059-4049</t>
  </si>
  <si>
    <t>Discover Respiratory Physiology</t>
  </si>
  <si>
    <t>3059-3190</t>
  </si>
  <si>
    <t>npj Soft Matter</t>
  </si>
  <si>
    <t>3059-3263</t>
  </si>
  <si>
    <t>npj Environmental Social Sciences</t>
  </si>
  <si>
    <t>3059-3271</t>
  </si>
  <si>
    <t>npj Veterinary Sciences</t>
  </si>
  <si>
    <t>3059-328X</t>
  </si>
  <si>
    <t>npj Entomology</t>
  </si>
  <si>
    <t>3059-3298</t>
  </si>
  <si>
    <t>npj Thermal Science and Engineering</t>
  </si>
  <si>
    <t>3059-3301</t>
  </si>
  <si>
    <t>AI, Brain and Child</t>
  </si>
  <si>
    <t>3059-3883</t>
  </si>
  <si>
    <t>npj Exercise Medicine and Health</t>
  </si>
  <si>
    <t>3059-331X</t>
  </si>
  <si>
    <t>Eye Open</t>
  </si>
  <si>
    <t>3059-3891</t>
  </si>
  <si>
    <t>Journal of Saudi Chemical Society</t>
  </si>
  <si>
    <t>2212-4640</t>
  </si>
  <si>
    <t>Journal of King Saud University Computer and Information Sciences</t>
  </si>
  <si>
    <t>2213-1248</t>
  </si>
  <si>
    <t>The Saudi Dental Journal</t>
  </si>
  <si>
    <t>2524-1702</t>
  </si>
  <si>
    <t>Saudi Pharmaceutical Journal</t>
  </si>
  <si>
    <t>2213-7475</t>
  </si>
  <si>
    <t>Neuroretina</t>
  </si>
  <si>
    <t>3059-3662</t>
  </si>
  <si>
    <t>Journal of Precision Health</t>
  </si>
  <si>
    <t>3059-3670</t>
  </si>
  <si>
    <t>Psychotropic Substances Research</t>
  </si>
  <si>
    <t>3059-3689</t>
  </si>
  <si>
    <t>BMC Plastic and Reconstructive Surgery</t>
  </si>
  <si>
    <t>3059-3697</t>
  </si>
  <si>
    <t>npj Space Exploration</t>
  </si>
  <si>
    <t>3059-3700</t>
  </si>
  <si>
    <t>npj Emerging Contaminants</t>
  </si>
  <si>
    <t>3059-3719</t>
  </si>
  <si>
    <t>npj Metamaterials</t>
  </si>
  <si>
    <t>3059-3727</t>
  </si>
  <si>
    <t>npj Energy Materials</t>
  </si>
  <si>
    <t>3059-3735</t>
  </si>
  <si>
    <t>Communications Sustainability</t>
  </si>
  <si>
    <t>3059-4308</t>
  </si>
  <si>
    <t>npj Wireless Technology</t>
  </si>
  <si>
    <t>3059-4391</t>
  </si>
  <si>
    <t>Space and Planetary Resources</t>
  </si>
  <si>
    <t>3059-4502</t>
  </si>
  <si>
    <t>Food Science of Animal Resources</t>
  </si>
  <si>
    <t>2636-0780</t>
  </si>
  <si>
    <t>Journal of Emergency and Disaster Medicine</t>
  </si>
  <si>
    <t>3059-4960</t>
  </si>
  <si>
    <t>Advanced Metamaterials</t>
  </si>
  <si>
    <t>3059-4863</t>
  </si>
  <si>
    <t>Journal of Information Display</t>
  </si>
  <si>
    <t>2158-1606</t>
  </si>
  <si>
    <t>Molecular Neurodegeneration Advances</t>
  </si>
  <si>
    <t>3059-4944</t>
  </si>
  <si>
    <t>Precision Diagnostics in Oncology</t>
  </si>
  <si>
    <t>3059-4952</t>
  </si>
  <si>
    <t>BMC Marine Science</t>
  </si>
  <si>
    <t>3059-4979</t>
  </si>
  <si>
    <t>Clean Planet</t>
  </si>
  <si>
    <t>3091-2865</t>
  </si>
  <si>
    <t>npj Digital Public Health</t>
  </si>
  <si>
    <t>3091-2784</t>
  </si>
  <si>
    <t>npj Autoimmunity</t>
  </si>
  <si>
    <t>3091-2792</t>
  </si>
  <si>
    <t>npj Digital Surgery</t>
  </si>
  <si>
    <t>3091-2806</t>
  </si>
  <si>
    <t>npj Soil Ecology</t>
  </si>
  <si>
    <t>3091-2814</t>
  </si>
  <si>
    <t>Management &amp; Marketing</t>
  </si>
  <si>
    <t>2069-8887</t>
  </si>
  <si>
    <t>Journal of Materials Science: Metallurgy</t>
  </si>
  <si>
    <t>3091-3543</t>
  </si>
  <si>
    <t>Journal of Materials Science: Polymers</t>
  </si>
  <si>
    <t>3091-3489</t>
  </si>
  <si>
    <t>Uterine Research</t>
  </si>
  <si>
    <t>3091-3276</t>
  </si>
  <si>
    <t>Biomedical Materials Science</t>
  </si>
  <si>
    <t>3091-3284</t>
  </si>
  <si>
    <t>Biotechnology for Food Future</t>
  </si>
  <si>
    <t>3091-3551</t>
  </si>
  <si>
    <t>Last updated: 2025-07-10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</si>
</sst>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nlyoffice.com/jsaProject" Target="js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8"/>
  <sheetViews>
    <sheetView tabSelected="1" workbookViewId="0">
      <pane ySplit="2" topLeftCell="A3" activePane="bottomLeft" state="frozen"/>
      <selection pane="bottomLeft" activeCell="G1" sqref="G1:G1048576"/>
    </sheetView>
  </sheetViews>
  <sheetFormatPr baseColWidth="10" defaultColWidth="8.88671875" defaultRowHeight="12.75" customHeight="1" x14ac:dyDescent="0.3"/>
  <cols>
    <col min="1" max="1" width="50.6640625" customWidth="1"/>
    <col min="2" max="2" width="25.6640625" customWidth="1"/>
    <col min="3" max="3" width="20.6640625" customWidth="1"/>
    <col min="4" max="4" width="13.6640625" customWidth="1"/>
    <col min="5" max="5" width="23.6640625" customWidth="1"/>
    <col min="6" max="6" width="10.6640625" customWidth="1"/>
  </cols>
  <sheetData>
    <row r="1" spans="1:6" ht="12.75" customHeight="1" x14ac:dyDescent="0.3">
      <c r="A1" s="1" t="s">
        <v>1327</v>
      </c>
    </row>
    <row r="2" spans="1:6" ht="25.05" customHeight="1" x14ac:dyDescent="0.3">
      <c r="A2" s="5" t="s">
        <v>0</v>
      </c>
      <c r="B2" s="5" t="s">
        <v>1</v>
      </c>
      <c r="C2" s="5" t="s">
        <v>4</v>
      </c>
      <c r="D2" s="5" t="s">
        <v>5</v>
      </c>
      <c r="E2" s="5" t="s">
        <v>2</v>
      </c>
      <c r="F2" s="5" t="s">
        <v>3</v>
      </c>
    </row>
    <row r="3" spans="1:6" ht="12.75" customHeight="1" x14ac:dyDescent="0.3">
      <c r="A3" s="2" t="s">
        <v>11</v>
      </c>
      <c r="B3" s="2" t="s">
        <v>12</v>
      </c>
      <c r="C3" s="4">
        <v>1032</v>
      </c>
      <c r="D3" s="2" t="s">
        <v>7</v>
      </c>
      <c r="E3" s="3" t="str">
        <f>HYPERLINK("https://springer.com/15")</f>
        <v>https://springer.com/15</v>
      </c>
      <c r="F3" s="2" t="s">
        <v>13</v>
      </c>
    </row>
    <row r="4" spans="1:6" ht="12.75" customHeight="1" x14ac:dyDescent="0.3">
      <c r="A4" s="2" t="s">
        <v>14</v>
      </c>
      <c r="B4" s="2" t="s">
        <v>6</v>
      </c>
      <c r="C4" s="4">
        <v>2632</v>
      </c>
      <c r="D4" s="2" t="s">
        <v>7</v>
      </c>
      <c r="E4" s="3" t="str">
        <f>HYPERLINK("https://springer.com/18")</f>
        <v>https://springer.com/18</v>
      </c>
      <c r="F4" s="2" t="s">
        <v>15</v>
      </c>
    </row>
    <row r="5" spans="1:6" ht="12.75" customHeight="1" x14ac:dyDescent="0.3">
      <c r="A5" s="2" t="s">
        <v>26</v>
      </c>
      <c r="B5" s="2" t="s">
        <v>6</v>
      </c>
      <c r="C5" s="4">
        <v>2792</v>
      </c>
      <c r="D5" s="2" t="s">
        <v>7</v>
      </c>
      <c r="E5" s="3" t="str">
        <f>HYPERLINK("https://springer.com/248")</f>
        <v>https://springer.com/248</v>
      </c>
      <c r="F5" s="2" t="s">
        <v>27</v>
      </c>
    </row>
    <row r="6" spans="1:6" ht="12.75" customHeight="1" x14ac:dyDescent="0.3">
      <c r="A6" s="2" t="s">
        <v>28</v>
      </c>
      <c r="B6" s="2" t="s">
        <v>6</v>
      </c>
      <c r="C6" s="4">
        <v>2632</v>
      </c>
      <c r="D6" s="2" t="s">
        <v>7</v>
      </c>
      <c r="E6" s="3" t="str">
        <f>HYPERLINK("https://springer.com/253")</f>
        <v>https://springer.com/253</v>
      </c>
      <c r="F6" s="2" t="s">
        <v>29</v>
      </c>
    </row>
    <row r="7" spans="1:6" ht="12.75" customHeight="1" x14ac:dyDescent="0.3">
      <c r="A7" s="2" t="s">
        <v>30</v>
      </c>
      <c r="B7" s="2" t="s">
        <v>19</v>
      </c>
      <c r="C7" s="4">
        <v>2792</v>
      </c>
      <c r="D7" s="2" t="s">
        <v>7</v>
      </c>
      <c r="E7" s="3" t="str">
        <f>HYPERLINK("https://springer.com/262")</f>
        <v>https://springer.com/262</v>
      </c>
      <c r="F7" s="2" t="s">
        <v>31</v>
      </c>
    </row>
    <row r="8" spans="1:6" ht="12.75" customHeight="1" x14ac:dyDescent="0.3">
      <c r="A8" s="2" t="s">
        <v>32</v>
      </c>
      <c r="B8" s="2" t="s">
        <v>19</v>
      </c>
      <c r="C8" s="4">
        <v>2872</v>
      </c>
      <c r="D8" s="2" t="s">
        <v>7</v>
      </c>
      <c r="E8" s="3" t="str">
        <f>HYPERLINK("https://springer.com/277")</f>
        <v>https://springer.com/277</v>
      </c>
      <c r="F8" s="2" t="s">
        <v>33</v>
      </c>
    </row>
    <row r="9" spans="1:6" ht="12.75" customHeight="1" x14ac:dyDescent="0.3">
      <c r="A9" s="2" t="s">
        <v>35</v>
      </c>
      <c r="B9" s="2" t="s">
        <v>19</v>
      </c>
      <c r="C9" s="4">
        <v>2310.12</v>
      </c>
      <c r="D9" s="2" t="s">
        <v>7</v>
      </c>
      <c r="E9" s="3" t="str">
        <f>HYPERLINK("https://springer.com/384")</f>
        <v>https://springer.com/384</v>
      </c>
      <c r="F9" s="2" t="s">
        <v>36</v>
      </c>
    </row>
    <row r="10" spans="1:6" ht="12.75" customHeight="1" x14ac:dyDescent="0.3">
      <c r="A10" s="2" t="s">
        <v>38</v>
      </c>
      <c r="B10" s="2" t="s">
        <v>19</v>
      </c>
      <c r="C10" s="4">
        <v>2792</v>
      </c>
      <c r="D10" s="2" t="s">
        <v>7</v>
      </c>
      <c r="E10" s="3" t="str">
        <f>HYPERLINK("https://springer.com/404")</f>
        <v>https://springer.com/404</v>
      </c>
      <c r="F10" s="2" t="s">
        <v>39</v>
      </c>
    </row>
    <row r="11" spans="1:6" ht="12.75" customHeight="1" x14ac:dyDescent="0.3">
      <c r="A11" s="2" t="s">
        <v>40</v>
      </c>
      <c r="B11" s="2" t="s">
        <v>19</v>
      </c>
      <c r="C11" s="4">
        <v>2872</v>
      </c>
      <c r="D11" s="2" t="s">
        <v>7</v>
      </c>
      <c r="E11" s="3" t="str">
        <f>HYPERLINK("https://springer.com/423")</f>
        <v>https://springer.com/423</v>
      </c>
      <c r="F11" s="2" t="s">
        <v>41</v>
      </c>
    </row>
    <row r="12" spans="1:6" ht="12.75" customHeight="1" x14ac:dyDescent="0.3">
      <c r="A12" s="2" t="s">
        <v>43</v>
      </c>
      <c r="B12" s="2" t="s">
        <v>6</v>
      </c>
      <c r="C12" s="4">
        <v>1592</v>
      </c>
      <c r="D12" s="2" t="s">
        <v>7</v>
      </c>
      <c r="E12" s="3" t="str">
        <f>HYPERLINK("https://springer.com/427")</f>
        <v>https://springer.com/427</v>
      </c>
      <c r="F12" s="2" t="s">
        <v>44</v>
      </c>
    </row>
    <row r="13" spans="1:6" ht="12.75" customHeight="1" x14ac:dyDescent="0.3">
      <c r="A13" s="2" t="s">
        <v>45</v>
      </c>
      <c r="B13" s="2" t="s">
        <v>19</v>
      </c>
      <c r="C13" s="4">
        <v>2632</v>
      </c>
      <c r="D13" s="2" t="s">
        <v>7</v>
      </c>
      <c r="E13" s="3" t="str">
        <f>HYPERLINK("https://springer.com/432")</f>
        <v>https://springer.com/432</v>
      </c>
      <c r="F13" s="2" t="s">
        <v>46</v>
      </c>
    </row>
    <row r="14" spans="1:6" ht="12.75" customHeight="1" x14ac:dyDescent="0.3">
      <c r="A14" s="2" t="s">
        <v>47</v>
      </c>
      <c r="B14" s="2" t="s">
        <v>10</v>
      </c>
      <c r="C14" s="4">
        <v>1992</v>
      </c>
      <c r="D14" s="2" t="s">
        <v>7</v>
      </c>
      <c r="E14" s="3" t="str">
        <f>HYPERLINK("https://springer.com/436")</f>
        <v>https://springer.com/436</v>
      </c>
      <c r="F14" s="2" t="s">
        <v>48</v>
      </c>
    </row>
    <row r="15" spans="1:6" ht="12.75" customHeight="1" x14ac:dyDescent="0.3">
      <c r="A15" s="2" t="s">
        <v>50</v>
      </c>
      <c r="B15" s="2" t="s">
        <v>19</v>
      </c>
      <c r="C15" s="4">
        <v>2472</v>
      </c>
      <c r="D15" s="2" t="s">
        <v>7</v>
      </c>
      <c r="E15" s="3" t="str">
        <f>HYPERLINK("https://springer.com/701")</f>
        <v>https://springer.com/701</v>
      </c>
      <c r="F15" s="2" t="s">
        <v>51</v>
      </c>
    </row>
    <row r="16" spans="1:6" ht="12.75" customHeight="1" x14ac:dyDescent="0.3">
      <c r="A16" s="2" t="s">
        <v>52</v>
      </c>
      <c r="B16" s="2" t="s">
        <v>6</v>
      </c>
      <c r="C16" s="4">
        <v>2232</v>
      </c>
      <c r="D16" s="2" t="s">
        <v>7</v>
      </c>
      <c r="E16" s="3" t="str">
        <f>HYPERLINK("https://springer.com/726")</f>
        <v>https://springer.com/726</v>
      </c>
      <c r="F16" s="2" t="s">
        <v>53</v>
      </c>
    </row>
    <row r="17" spans="1:6" ht="12.75" customHeight="1" x14ac:dyDescent="0.3">
      <c r="A17" s="2" t="s">
        <v>54</v>
      </c>
      <c r="B17" s="2" t="s">
        <v>10</v>
      </c>
      <c r="C17" s="4">
        <v>2102.2399999999998</v>
      </c>
      <c r="D17" s="2" t="s">
        <v>7</v>
      </c>
      <c r="E17" s="3" t="str">
        <f>HYPERLINK("https://springer.com/10020")</f>
        <v>https://springer.com/10020</v>
      </c>
      <c r="F17" s="2" t="s">
        <v>55</v>
      </c>
    </row>
    <row r="18" spans="1:6" ht="12.75" customHeight="1" x14ac:dyDescent="0.3">
      <c r="A18" s="2" t="s">
        <v>56</v>
      </c>
      <c r="B18" s="2" t="s">
        <v>17</v>
      </c>
      <c r="C18" s="4">
        <v>1896.12</v>
      </c>
      <c r="D18" s="2" t="s">
        <v>7</v>
      </c>
      <c r="E18" s="3" t="str">
        <f>HYPERLINK("https://springer.com/10055")</f>
        <v>https://springer.com/10055</v>
      </c>
      <c r="F18" s="2" t="s">
        <v>57</v>
      </c>
    </row>
    <row r="19" spans="1:6" ht="12.75" customHeight="1" x14ac:dyDescent="0.3">
      <c r="A19" s="2" t="s">
        <v>58</v>
      </c>
      <c r="B19" s="2" t="s">
        <v>6</v>
      </c>
      <c r="C19" s="4">
        <v>2152</v>
      </c>
      <c r="D19" s="2" t="s">
        <v>7</v>
      </c>
      <c r="E19" s="3" t="str">
        <f>HYPERLINK("https://springer.com/10071")</f>
        <v>https://springer.com/10071</v>
      </c>
      <c r="F19" s="2" t="s">
        <v>59</v>
      </c>
    </row>
    <row r="20" spans="1:6" ht="12.75" customHeight="1" x14ac:dyDescent="0.3">
      <c r="A20" s="2" t="s">
        <v>60</v>
      </c>
      <c r="B20" s="2" t="s">
        <v>6</v>
      </c>
      <c r="C20" s="4">
        <v>1147.51</v>
      </c>
      <c r="D20" s="2" t="s">
        <v>7</v>
      </c>
      <c r="E20" s="3" t="str">
        <f>HYPERLINK("https://springer.com/10086")</f>
        <v>https://springer.com/10086</v>
      </c>
      <c r="F20" s="2" t="s">
        <v>61</v>
      </c>
    </row>
    <row r="21" spans="1:6" ht="12.75" customHeight="1" x14ac:dyDescent="0.3">
      <c r="A21" s="2" t="s">
        <v>62</v>
      </c>
      <c r="B21" s="2" t="s">
        <v>19</v>
      </c>
      <c r="C21" s="4">
        <v>2712</v>
      </c>
      <c r="D21" s="2" t="s">
        <v>7</v>
      </c>
      <c r="E21" s="3" t="str">
        <f>HYPERLINK("https://springer.com/10151")</f>
        <v>https://springer.com/10151</v>
      </c>
      <c r="F21" s="2" t="s">
        <v>63</v>
      </c>
    </row>
    <row r="22" spans="1:6" ht="12.75" customHeight="1" x14ac:dyDescent="0.3">
      <c r="A22" s="2" t="s">
        <v>64</v>
      </c>
      <c r="B22" s="2" t="s">
        <v>19</v>
      </c>
      <c r="C22" s="4">
        <v>2175.8200000000002</v>
      </c>
      <c r="D22" s="2" t="s">
        <v>7</v>
      </c>
      <c r="E22" s="3" t="str">
        <f>HYPERLINK("https://springer.com/10194")</f>
        <v>https://springer.com/10194</v>
      </c>
      <c r="F22" s="2" t="s">
        <v>65</v>
      </c>
    </row>
    <row r="23" spans="1:6" ht="12.75" customHeight="1" x14ac:dyDescent="0.3">
      <c r="A23" s="2" t="s">
        <v>66</v>
      </c>
      <c r="B23" s="2" t="s">
        <v>19</v>
      </c>
      <c r="C23" s="4">
        <v>1938.28</v>
      </c>
      <c r="D23" s="2" t="s">
        <v>7</v>
      </c>
      <c r="E23" s="3" t="str">
        <f>HYPERLINK("https://springer.com/10195")</f>
        <v>https://springer.com/10195</v>
      </c>
      <c r="F23" s="2" t="s">
        <v>67</v>
      </c>
    </row>
    <row r="24" spans="1:6" ht="12.75" customHeight="1" x14ac:dyDescent="0.3">
      <c r="A24" s="2" t="s">
        <v>69</v>
      </c>
      <c r="B24" s="2" t="s">
        <v>19</v>
      </c>
      <c r="C24" s="4">
        <v>2872</v>
      </c>
      <c r="D24" s="2" t="s">
        <v>7</v>
      </c>
      <c r="E24" s="3" t="str">
        <f>HYPERLINK("https://springer.com/10238")</f>
        <v>https://springer.com/10238</v>
      </c>
      <c r="F24" s="2" t="s">
        <v>70</v>
      </c>
    </row>
    <row r="25" spans="1:6" ht="12.75" customHeight="1" x14ac:dyDescent="0.3">
      <c r="A25" s="2" t="s">
        <v>71</v>
      </c>
      <c r="B25" s="2" t="s">
        <v>8</v>
      </c>
      <c r="C25" s="4">
        <v>2305.27</v>
      </c>
      <c r="D25" s="2" t="s">
        <v>7</v>
      </c>
      <c r="E25" s="3" t="str">
        <f>HYPERLINK("https://springer.com/10240")</f>
        <v>https://springer.com/10240</v>
      </c>
      <c r="F25" s="2" t="s">
        <v>72</v>
      </c>
    </row>
    <row r="26" spans="1:6" ht="12.75" customHeight="1" x14ac:dyDescent="0.3">
      <c r="A26" s="2" t="s">
        <v>74</v>
      </c>
      <c r="B26" s="2" t="s">
        <v>73</v>
      </c>
      <c r="C26" s="4">
        <v>1962.48</v>
      </c>
      <c r="D26" s="2" t="s">
        <v>7</v>
      </c>
      <c r="E26" s="3" t="str">
        <f>HYPERLINK("https://springer.com/10433")</f>
        <v>https://springer.com/10433</v>
      </c>
      <c r="F26" s="2" t="s">
        <v>75</v>
      </c>
    </row>
    <row r="27" spans="1:6" ht="12.75" customHeight="1" x14ac:dyDescent="0.3">
      <c r="A27" s="2" t="s">
        <v>77</v>
      </c>
      <c r="B27" s="2" t="s">
        <v>17</v>
      </c>
      <c r="C27" s="4">
        <v>2061.7199999999998</v>
      </c>
      <c r="D27" s="2" t="s">
        <v>7</v>
      </c>
      <c r="E27" s="3" t="str">
        <f>HYPERLINK("https://springer.com/10462")</f>
        <v>https://springer.com/10462</v>
      </c>
      <c r="F27" s="2" t="s">
        <v>78</v>
      </c>
    </row>
    <row r="28" spans="1:6" ht="12.75" customHeight="1" x14ac:dyDescent="0.3">
      <c r="A28" s="2" t="s">
        <v>79</v>
      </c>
      <c r="B28" s="2" t="s">
        <v>12</v>
      </c>
      <c r="C28" s="4">
        <v>2144.52</v>
      </c>
      <c r="D28" s="2" t="s">
        <v>7</v>
      </c>
      <c r="E28" s="3" t="str">
        <f>HYPERLINK("https://springer.com/10533")</f>
        <v>https://springer.com/10533</v>
      </c>
      <c r="F28" s="2" t="s">
        <v>80</v>
      </c>
    </row>
    <row r="29" spans="1:6" ht="12.75" customHeight="1" x14ac:dyDescent="0.3">
      <c r="A29" s="2" t="s">
        <v>81</v>
      </c>
      <c r="B29" s="2" t="s">
        <v>6</v>
      </c>
      <c r="C29" s="4">
        <v>2712</v>
      </c>
      <c r="D29" s="2" t="s">
        <v>7</v>
      </c>
      <c r="E29" s="3" t="str">
        <f>HYPERLINK("https://springer.com/10565")</f>
        <v>https://springer.com/10565</v>
      </c>
      <c r="F29" s="2" t="s">
        <v>82</v>
      </c>
    </row>
    <row r="30" spans="1:6" ht="12.75" customHeight="1" x14ac:dyDescent="0.3">
      <c r="A30" s="2" t="s">
        <v>83</v>
      </c>
      <c r="B30" s="2" t="s">
        <v>10</v>
      </c>
      <c r="C30" s="4">
        <v>2792</v>
      </c>
      <c r="D30" s="2" t="s">
        <v>7</v>
      </c>
      <c r="E30" s="3" t="str">
        <f>HYPERLINK("https://springer.com/10571")</f>
        <v>https://springer.com/10571</v>
      </c>
      <c r="F30" s="2" t="s">
        <v>84</v>
      </c>
    </row>
    <row r="31" spans="1:6" ht="12.75" customHeight="1" x14ac:dyDescent="0.3">
      <c r="A31" s="2" t="s">
        <v>88</v>
      </c>
      <c r="B31" s="2" t="s">
        <v>73</v>
      </c>
      <c r="C31" s="4">
        <v>1896.12</v>
      </c>
      <c r="D31" s="2" t="s">
        <v>7</v>
      </c>
      <c r="E31" s="3" t="str">
        <f>HYPERLINK("https://springer.com/10680")</f>
        <v>https://springer.com/10680</v>
      </c>
      <c r="F31" s="2" t="s">
        <v>89</v>
      </c>
    </row>
    <row r="32" spans="1:6" ht="12.75" customHeight="1" x14ac:dyDescent="0.3">
      <c r="A32" s="2" t="s">
        <v>90</v>
      </c>
      <c r="B32" s="2" t="s">
        <v>6</v>
      </c>
      <c r="C32" s="4">
        <v>2232</v>
      </c>
      <c r="D32" s="2" t="s">
        <v>7</v>
      </c>
      <c r="E32" s="3" t="str">
        <f>HYPERLINK("https://springer.com/10725")</f>
        <v>https://springer.com/10725</v>
      </c>
      <c r="F32" s="2" t="s">
        <v>91</v>
      </c>
    </row>
    <row r="33" spans="1:6" ht="12.75" customHeight="1" x14ac:dyDescent="0.3">
      <c r="A33" s="2" t="s">
        <v>93</v>
      </c>
      <c r="B33" s="2" t="s">
        <v>10</v>
      </c>
      <c r="C33" s="4">
        <v>2952</v>
      </c>
      <c r="D33" s="2" t="s">
        <v>7</v>
      </c>
      <c r="E33" s="3" t="str">
        <f>HYPERLINK("https://springer.com/10753")</f>
        <v>https://springer.com/10753</v>
      </c>
      <c r="F33" s="2" t="s">
        <v>94</v>
      </c>
    </row>
    <row r="34" spans="1:6" ht="12.75" customHeight="1" x14ac:dyDescent="0.3">
      <c r="A34" s="2" t="s">
        <v>95</v>
      </c>
      <c r="B34" s="2" t="s">
        <v>17</v>
      </c>
      <c r="C34" s="4">
        <v>912</v>
      </c>
      <c r="D34" s="2" t="s">
        <v>7</v>
      </c>
      <c r="E34" s="3" t="str">
        <f>HYPERLINK("https://springer.com/10791")</f>
        <v>https://springer.com/10791</v>
      </c>
      <c r="F34" s="2" t="s">
        <v>96</v>
      </c>
    </row>
    <row r="35" spans="1:6" ht="12.75" customHeight="1" x14ac:dyDescent="0.3">
      <c r="A35" s="2" t="s">
        <v>97</v>
      </c>
      <c r="B35" s="2" t="s">
        <v>85</v>
      </c>
      <c r="C35" s="4">
        <v>1912</v>
      </c>
      <c r="D35" s="2" t="s">
        <v>7</v>
      </c>
      <c r="E35" s="3" t="str">
        <f>HYPERLINK("https://springer.com/10828")</f>
        <v>https://springer.com/10828</v>
      </c>
      <c r="F35" s="2" t="s">
        <v>98</v>
      </c>
    </row>
    <row r="36" spans="1:6" ht="12.75" customHeight="1" x14ac:dyDescent="0.3">
      <c r="A36" s="2" t="s">
        <v>99</v>
      </c>
      <c r="B36" s="2" t="s">
        <v>16</v>
      </c>
      <c r="C36" s="4">
        <v>1978.92</v>
      </c>
      <c r="D36" s="2" t="s">
        <v>7</v>
      </c>
      <c r="E36" s="3" t="str">
        <f>HYPERLINK("https://springer.com/10846")</f>
        <v>https://springer.com/10846</v>
      </c>
      <c r="F36" s="2" t="s">
        <v>100</v>
      </c>
    </row>
    <row r="37" spans="1:6" ht="12.75" customHeight="1" x14ac:dyDescent="0.3">
      <c r="A37" s="2" t="s">
        <v>101</v>
      </c>
      <c r="B37" s="2" t="s">
        <v>37</v>
      </c>
      <c r="C37" s="4">
        <v>1614.28</v>
      </c>
      <c r="D37" s="2" t="s">
        <v>7</v>
      </c>
      <c r="E37" s="3" t="str">
        <f>HYPERLINK("https://springer.com/10856")</f>
        <v>https://springer.com/10856</v>
      </c>
      <c r="F37" s="2" t="s">
        <v>102</v>
      </c>
    </row>
    <row r="38" spans="1:6" ht="12.75" customHeight="1" x14ac:dyDescent="0.3">
      <c r="A38" s="2" t="s">
        <v>103</v>
      </c>
      <c r="B38" s="2" t="s">
        <v>10</v>
      </c>
      <c r="C38" s="4">
        <v>3112</v>
      </c>
      <c r="D38" s="2" t="s">
        <v>7</v>
      </c>
      <c r="E38" s="3" t="str">
        <f>HYPERLINK("https://springer.com/10875")</f>
        <v>https://springer.com/10875</v>
      </c>
      <c r="F38" s="2" t="s">
        <v>104</v>
      </c>
    </row>
    <row r="39" spans="1:6" ht="12.75" customHeight="1" x14ac:dyDescent="0.3">
      <c r="A39" s="2" t="s">
        <v>105</v>
      </c>
      <c r="B39" s="2" t="s">
        <v>19</v>
      </c>
      <c r="C39" s="4">
        <v>2552</v>
      </c>
      <c r="D39" s="2" t="s">
        <v>7</v>
      </c>
      <c r="E39" s="3" t="str">
        <f>HYPERLINK("https://springer.com/10911")</f>
        <v>https://springer.com/10911</v>
      </c>
      <c r="F39" s="2" t="s">
        <v>106</v>
      </c>
    </row>
    <row r="40" spans="1:6" ht="12.75" customHeight="1" x14ac:dyDescent="0.3">
      <c r="A40" s="2" t="s">
        <v>107</v>
      </c>
      <c r="B40" s="2" t="s">
        <v>6</v>
      </c>
      <c r="C40" s="4">
        <v>2712</v>
      </c>
      <c r="D40" s="2" t="s">
        <v>7</v>
      </c>
      <c r="E40" s="3" t="str">
        <f>HYPERLINK("https://springer.com/10980")</f>
        <v>https://springer.com/10980</v>
      </c>
      <c r="F40" s="2" t="s">
        <v>108</v>
      </c>
    </row>
    <row r="41" spans="1:6" ht="12.75" customHeight="1" x14ac:dyDescent="0.3">
      <c r="A41" s="2" t="s">
        <v>109</v>
      </c>
      <c r="B41" s="2" t="s">
        <v>9</v>
      </c>
      <c r="C41" s="4">
        <v>912</v>
      </c>
      <c r="D41" s="2" t="s">
        <v>7</v>
      </c>
      <c r="E41" s="3" t="str">
        <f>HYPERLINK("https://springer.com/11038")</f>
        <v>https://springer.com/11038</v>
      </c>
      <c r="F41" s="2" t="s">
        <v>110</v>
      </c>
    </row>
    <row r="42" spans="1:6" ht="12.75" customHeight="1" x14ac:dyDescent="0.3">
      <c r="A42" s="2" t="s">
        <v>111</v>
      </c>
      <c r="B42" s="2" t="s">
        <v>17</v>
      </c>
      <c r="C42" s="4">
        <v>1978.92</v>
      </c>
      <c r="D42" s="2" t="s">
        <v>7</v>
      </c>
      <c r="E42" s="3" t="str">
        <f>HYPERLINK("https://springer.com/11063")</f>
        <v>https://springer.com/11063</v>
      </c>
      <c r="F42" s="2" t="s">
        <v>112</v>
      </c>
    </row>
    <row r="43" spans="1:6" ht="12.75" customHeight="1" x14ac:dyDescent="0.3">
      <c r="A43" s="2" t="s">
        <v>113</v>
      </c>
      <c r="B43" s="2" t="s">
        <v>6</v>
      </c>
      <c r="C43" s="4">
        <v>912</v>
      </c>
      <c r="D43" s="2" t="s">
        <v>7</v>
      </c>
      <c r="E43" s="3" t="str">
        <f>HYPERLINK("https://springer.com/11084")</f>
        <v>https://springer.com/11084</v>
      </c>
      <c r="F43" s="2" t="s">
        <v>114</v>
      </c>
    </row>
    <row r="44" spans="1:6" ht="12.75" customHeight="1" x14ac:dyDescent="0.3">
      <c r="A44" s="2" t="s">
        <v>115</v>
      </c>
      <c r="B44" s="2" t="s">
        <v>19</v>
      </c>
      <c r="C44" s="4">
        <v>1657.99</v>
      </c>
      <c r="D44" s="2" t="s">
        <v>117</v>
      </c>
      <c r="E44" s="3" t="str">
        <f>HYPERLINK("https://springer.com/11556")</f>
        <v>https://springer.com/11556</v>
      </c>
      <c r="F44" s="2" t="s">
        <v>116</v>
      </c>
    </row>
    <row r="45" spans="1:6" ht="12.75" customHeight="1" x14ac:dyDescent="0.3">
      <c r="A45" s="2" t="s">
        <v>118</v>
      </c>
      <c r="B45" s="2" t="s">
        <v>76</v>
      </c>
      <c r="C45" s="4">
        <v>1962.48</v>
      </c>
      <c r="D45" s="2" t="s">
        <v>7</v>
      </c>
      <c r="E45" s="3" t="str">
        <f>HYPERLINK("https://springer.com/11569")</f>
        <v>https://springer.com/11569</v>
      </c>
      <c r="F45" s="2" t="s">
        <v>119</v>
      </c>
    </row>
    <row r="46" spans="1:6" ht="12.75" customHeight="1" x14ac:dyDescent="0.3">
      <c r="A46" s="2" t="s">
        <v>120</v>
      </c>
      <c r="B46" s="2" t="s">
        <v>6</v>
      </c>
      <c r="C46" s="4">
        <v>1605.74</v>
      </c>
      <c r="D46" s="2" t="s">
        <v>7</v>
      </c>
      <c r="E46" s="3" t="str">
        <f>HYPERLINK("https://springer.com/11658")</f>
        <v>https://springer.com/11658</v>
      </c>
      <c r="F46" s="2" t="s">
        <v>121</v>
      </c>
    </row>
    <row r="47" spans="1:6" ht="12.75" customHeight="1" x14ac:dyDescent="0.3">
      <c r="A47" s="2" t="s">
        <v>122</v>
      </c>
      <c r="B47" s="2" t="s">
        <v>37</v>
      </c>
      <c r="C47" s="4">
        <v>1276.8900000000001</v>
      </c>
      <c r="D47" s="2" t="s">
        <v>7</v>
      </c>
      <c r="E47" s="3" t="str">
        <f>HYPERLINK("https://springer.com/11671")</f>
        <v>https://springer.com/11671</v>
      </c>
      <c r="F47" s="2" t="s">
        <v>123</v>
      </c>
    </row>
    <row r="48" spans="1:6" ht="12.75" customHeight="1" x14ac:dyDescent="0.3">
      <c r="A48" s="2" t="s">
        <v>124</v>
      </c>
      <c r="B48" s="2" t="s">
        <v>10</v>
      </c>
      <c r="C48" s="4">
        <v>1938.28</v>
      </c>
      <c r="D48" s="2" t="s">
        <v>117</v>
      </c>
      <c r="E48" s="3" t="str">
        <f>HYPERLINK("https://springer.com/11689")</f>
        <v>https://springer.com/11689</v>
      </c>
      <c r="F48" s="2" t="s">
        <v>125</v>
      </c>
    </row>
    <row r="49" spans="1:6" ht="12.75" customHeight="1" x14ac:dyDescent="0.3">
      <c r="A49" s="2" t="s">
        <v>126</v>
      </c>
      <c r="B49" s="2" t="s">
        <v>76</v>
      </c>
      <c r="C49" s="4">
        <v>1978.92</v>
      </c>
      <c r="D49" s="2" t="s">
        <v>7</v>
      </c>
      <c r="E49" s="3" t="str">
        <f>HYPERLINK("https://springer.com/11948")</f>
        <v>https://springer.com/11948</v>
      </c>
      <c r="F49" s="2" t="s">
        <v>127</v>
      </c>
    </row>
    <row r="50" spans="1:6" ht="12.75" customHeight="1" x14ac:dyDescent="0.3">
      <c r="A50" s="2" t="s">
        <v>128</v>
      </c>
      <c r="B50" s="2" t="s">
        <v>6</v>
      </c>
      <c r="C50" s="4">
        <v>1643.24</v>
      </c>
      <c r="D50" s="2" t="s">
        <v>7</v>
      </c>
      <c r="E50" s="3" t="str">
        <f>HYPERLINK("https://springer.com/12014")</f>
        <v>https://springer.com/12014</v>
      </c>
      <c r="F50" s="2" t="s">
        <v>129</v>
      </c>
    </row>
    <row r="51" spans="1:6" ht="12.75" customHeight="1" x14ac:dyDescent="0.3">
      <c r="A51" s="2" t="s">
        <v>130</v>
      </c>
      <c r="B51" s="2" t="s">
        <v>6</v>
      </c>
      <c r="C51" s="4">
        <v>1353.94</v>
      </c>
      <c r="D51" s="2" t="s">
        <v>7</v>
      </c>
      <c r="E51" s="3" t="str">
        <f>HYPERLINK("https://springer.com/12052")</f>
        <v>https://springer.com/12052</v>
      </c>
      <c r="F51" s="2" t="s">
        <v>131</v>
      </c>
    </row>
    <row r="52" spans="1:6" ht="12.75" customHeight="1" x14ac:dyDescent="0.3">
      <c r="A52" s="2" t="s">
        <v>132</v>
      </c>
      <c r="B52" s="2" t="s">
        <v>68</v>
      </c>
      <c r="C52" s="4">
        <v>1876.78</v>
      </c>
      <c r="D52" s="2" t="s">
        <v>7</v>
      </c>
      <c r="E52" s="3" t="str">
        <f>HYPERLINK("https://springer.com/12186")</f>
        <v>https://springer.com/12186</v>
      </c>
      <c r="F52" s="2" t="s">
        <v>133</v>
      </c>
    </row>
    <row r="53" spans="1:6" ht="12.75" customHeight="1" x14ac:dyDescent="0.3">
      <c r="A53" s="2" t="s">
        <v>134</v>
      </c>
      <c r="B53" s="2" t="s">
        <v>19</v>
      </c>
      <c r="C53" s="4">
        <v>1826.84</v>
      </c>
      <c r="D53" s="2" t="s">
        <v>7</v>
      </c>
      <c r="E53" s="3" t="str">
        <f>HYPERLINK("https://springer.com/12245")</f>
        <v>https://springer.com/12245</v>
      </c>
      <c r="F53" s="2" t="s">
        <v>135</v>
      </c>
    </row>
    <row r="54" spans="1:6" ht="12.75" customHeight="1" x14ac:dyDescent="0.3">
      <c r="A54" s="2" t="s">
        <v>136</v>
      </c>
      <c r="B54" s="2" t="s">
        <v>10</v>
      </c>
      <c r="C54" s="4">
        <v>2175.8200000000002</v>
      </c>
      <c r="D54" s="2" t="s">
        <v>7</v>
      </c>
      <c r="E54" s="3" t="str">
        <f>HYPERLINK("https://springer.com/12263")</f>
        <v>https://springer.com/12263</v>
      </c>
      <c r="F54" s="2" t="s">
        <v>137</v>
      </c>
    </row>
    <row r="55" spans="1:6" ht="12.75" customHeight="1" x14ac:dyDescent="0.3">
      <c r="A55" s="2" t="s">
        <v>138</v>
      </c>
      <c r="B55" s="2" t="s">
        <v>10</v>
      </c>
      <c r="C55" s="4">
        <v>3551.16</v>
      </c>
      <c r="D55" s="2" t="s">
        <v>7</v>
      </c>
      <c r="E55" s="3" t="str">
        <f>HYPERLINK("https://springer.com/12276")</f>
        <v>https://springer.com/12276</v>
      </c>
      <c r="F55" s="2" t="s">
        <v>139</v>
      </c>
    </row>
    <row r="56" spans="1:6" ht="12.75" customHeight="1" x14ac:dyDescent="0.3">
      <c r="A56" s="2" t="s">
        <v>140</v>
      </c>
      <c r="B56" s="2" t="s">
        <v>6</v>
      </c>
      <c r="C56" s="4">
        <v>1938.28</v>
      </c>
      <c r="D56" s="2" t="s">
        <v>7</v>
      </c>
      <c r="E56" s="3" t="str">
        <f>HYPERLINK("https://springer.com/12284")</f>
        <v>https://springer.com/12284</v>
      </c>
      <c r="F56" s="2" t="s">
        <v>141</v>
      </c>
    </row>
    <row r="57" spans="1:6" ht="12.75" customHeight="1" x14ac:dyDescent="0.3">
      <c r="A57" s="2" t="s">
        <v>142</v>
      </c>
      <c r="B57" s="2" t="s">
        <v>21</v>
      </c>
      <c r="C57" s="4">
        <v>2031.16</v>
      </c>
      <c r="D57" s="2" t="s">
        <v>7</v>
      </c>
      <c r="E57" s="3" t="str">
        <f>HYPERLINK("https://springer.com/12302")</f>
        <v>https://springer.com/12302</v>
      </c>
      <c r="F57" s="2" t="s">
        <v>143</v>
      </c>
    </row>
    <row r="58" spans="1:6" ht="12.75" customHeight="1" x14ac:dyDescent="0.3">
      <c r="A58" s="2" t="s">
        <v>144</v>
      </c>
      <c r="B58" s="2" t="s">
        <v>19</v>
      </c>
      <c r="C58" s="4">
        <v>1331.11</v>
      </c>
      <c r="D58" s="2" t="s">
        <v>7</v>
      </c>
      <c r="E58" s="3" t="str">
        <f>HYPERLINK("https://springer.com/12348")</f>
        <v>https://springer.com/12348</v>
      </c>
      <c r="F58" s="2" t="s">
        <v>145</v>
      </c>
    </row>
    <row r="59" spans="1:6" ht="12.75" customHeight="1" x14ac:dyDescent="0.3">
      <c r="A59" s="2" t="s">
        <v>146</v>
      </c>
      <c r="B59" s="2" t="s">
        <v>16</v>
      </c>
      <c r="C59" s="4">
        <v>1140.1600000000001</v>
      </c>
      <c r="D59" s="2" t="s">
        <v>7</v>
      </c>
      <c r="E59" s="3" t="str">
        <f>HYPERLINK("https://springer.com/12544")</f>
        <v>https://springer.com/12544</v>
      </c>
      <c r="F59" s="2" t="s">
        <v>147</v>
      </c>
    </row>
    <row r="60" spans="1:6" ht="12.75" customHeight="1" x14ac:dyDescent="0.3">
      <c r="A60" s="2" t="s">
        <v>148</v>
      </c>
      <c r="B60" s="2" t="s">
        <v>10</v>
      </c>
      <c r="C60" s="4">
        <v>2184.87</v>
      </c>
      <c r="D60" s="2" t="s">
        <v>7</v>
      </c>
      <c r="E60" s="3" t="str">
        <f>HYPERLINK("https://springer.com/12575")</f>
        <v>https://springer.com/12575</v>
      </c>
      <c r="F60" s="2" t="s">
        <v>149</v>
      </c>
    </row>
    <row r="61" spans="1:6" ht="12.75" customHeight="1" x14ac:dyDescent="0.3">
      <c r="A61" s="2" t="s">
        <v>150</v>
      </c>
      <c r="B61" s="2" t="s">
        <v>19</v>
      </c>
      <c r="C61" s="4">
        <v>1890.78</v>
      </c>
      <c r="D61" s="2" t="s">
        <v>117</v>
      </c>
      <c r="E61" s="3" t="str">
        <f>HYPERLINK("https://springer.com/12610")</f>
        <v>https://springer.com/12610</v>
      </c>
      <c r="F61" s="2" t="s">
        <v>151</v>
      </c>
    </row>
    <row r="62" spans="1:6" ht="12.75" customHeight="1" x14ac:dyDescent="0.3">
      <c r="A62" s="2" t="s">
        <v>152</v>
      </c>
      <c r="B62" s="2" t="s">
        <v>37</v>
      </c>
      <c r="C62" s="4">
        <v>1225.68</v>
      </c>
      <c r="D62" s="2" t="s">
        <v>7</v>
      </c>
      <c r="E62" s="3" t="str">
        <f>HYPERLINK("https://springer.com/12645")</f>
        <v>https://springer.com/12645</v>
      </c>
      <c r="F62" s="2" t="s">
        <v>153</v>
      </c>
    </row>
    <row r="63" spans="1:6" ht="12.75" customHeight="1" x14ac:dyDescent="0.3">
      <c r="A63" s="2" t="s">
        <v>154</v>
      </c>
      <c r="B63" s="2" t="s">
        <v>19</v>
      </c>
      <c r="C63" s="4">
        <v>908.82</v>
      </c>
      <c r="D63" s="2" t="s">
        <v>7</v>
      </c>
      <c r="E63" s="3" t="str">
        <f>HYPERLINK("https://springer.com/12672")</f>
        <v>https://springer.com/12672</v>
      </c>
      <c r="F63" s="2" t="s">
        <v>155</v>
      </c>
    </row>
    <row r="64" spans="1:6" ht="12.75" customHeight="1" x14ac:dyDescent="0.3">
      <c r="A64" s="2" t="s">
        <v>156</v>
      </c>
      <c r="B64" s="2" t="s">
        <v>6</v>
      </c>
      <c r="C64" s="4">
        <v>1372.42</v>
      </c>
      <c r="D64" s="2" t="s">
        <v>117</v>
      </c>
      <c r="E64" s="3" t="str">
        <f>HYPERLINK("https://springer.com/12711")</f>
        <v>https://springer.com/12711</v>
      </c>
      <c r="F64" s="2" t="s">
        <v>157</v>
      </c>
    </row>
    <row r="65" spans="1:6" ht="12.75" customHeight="1" x14ac:dyDescent="0.3">
      <c r="A65" s="2" t="s">
        <v>158</v>
      </c>
      <c r="B65" s="2" t="s">
        <v>6</v>
      </c>
      <c r="C65" s="4">
        <v>1700.76</v>
      </c>
      <c r="D65" s="2" t="s">
        <v>7</v>
      </c>
      <c r="E65" s="3" t="str">
        <f>HYPERLINK("https://springer.com/12859")</f>
        <v>https://springer.com/12859</v>
      </c>
      <c r="F65" s="2" t="s">
        <v>159</v>
      </c>
    </row>
    <row r="66" spans="1:6" ht="12.75" customHeight="1" x14ac:dyDescent="0.3">
      <c r="A66" s="2" t="s">
        <v>160</v>
      </c>
      <c r="B66" s="2" t="s">
        <v>6</v>
      </c>
      <c r="C66" s="4">
        <v>1498.98</v>
      </c>
      <c r="D66" s="2" t="s">
        <v>7</v>
      </c>
      <c r="E66" s="3" t="str">
        <f>HYPERLINK("https://springer.com/12860")</f>
        <v>https://springer.com/12860</v>
      </c>
      <c r="F66" s="2" t="s">
        <v>161</v>
      </c>
    </row>
    <row r="67" spans="1:6" ht="12.75" customHeight="1" x14ac:dyDescent="0.3">
      <c r="A67" s="2" t="s">
        <v>162</v>
      </c>
      <c r="B67" s="2" t="s">
        <v>6</v>
      </c>
      <c r="C67" s="4">
        <v>1735.04</v>
      </c>
      <c r="D67" s="2" t="s">
        <v>7</v>
      </c>
      <c r="E67" s="3" t="str">
        <f>HYPERLINK("https://springer.com/12862")</f>
        <v>https://springer.com/12862</v>
      </c>
      <c r="F67" s="2" t="s">
        <v>163</v>
      </c>
    </row>
    <row r="68" spans="1:6" ht="12.75" customHeight="1" x14ac:dyDescent="0.3">
      <c r="A68" s="2" t="s">
        <v>164</v>
      </c>
      <c r="B68" s="2" t="s">
        <v>6</v>
      </c>
      <c r="C68" s="4">
        <v>1220.95</v>
      </c>
      <c r="D68" s="2" t="s">
        <v>7</v>
      </c>
      <c r="E68" s="3" t="str">
        <f>HYPERLINK("https://springer.com/12863")</f>
        <v>https://springer.com/12863</v>
      </c>
      <c r="F68" s="2" t="s">
        <v>165</v>
      </c>
    </row>
    <row r="69" spans="1:6" ht="12.75" customHeight="1" x14ac:dyDescent="0.3">
      <c r="A69" s="2" t="s">
        <v>166</v>
      </c>
      <c r="B69" s="2" t="s">
        <v>6</v>
      </c>
      <c r="C69" s="4">
        <v>1765.07</v>
      </c>
      <c r="D69" s="2" t="s">
        <v>7</v>
      </c>
      <c r="E69" s="3" t="str">
        <f>HYPERLINK("https://springer.com/12864")</f>
        <v>https://springer.com/12864</v>
      </c>
      <c r="F69" s="2" t="s">
        <v>167</v>
      </c>
    </row>
    <row r="70" spans="1:6" ht="12.75" customHeight="1" x14ac:dyDescent="0.3">
      <c r="A70" s="2" t="s">
        <v>168</v>
      </c>
      <c r="B70" s="2" t="s">
        <v>10</v>
      </c>
      <c r="C70" s="4">
        <v>1890.78</v>
      </c>
      <c r="D70" s="2" t="s">
        <v>7</v>
      </c>
      <c r="E70" s="3" t="str">
        <f>HYPERLINK("https://springer.com/12865")</f>
        <v>https://springer.com/12865</v>
      </c>
      <c r="F70" s="2" t="s">
        <v>169</v>
      </c>
    </row>
    <row r="71" spans="1:6" ht="12.75" customHeight="1" x14ac:dyDescent="0.3">
      <c r="A71" s="2" t="s">
        <v>170</v>
      </c>
      <c r="B71" s="2" t="s">
        <v>6</v>
      </c>
      <c r="C71" s="4">
        <v>1716.68</v>
      </c>
      <c r="D71" s="2" t="s">
        <v>7</v>
      </c>
      <c r="E71" s="3" t="str">
        <f>HYPERLINK("https://springer.com/12866")</f>
        <v>https://springer.com/12866</v>
      </c>
      <c r="F71" s="2" t="s">
        <v>171</v>
      </c>
    </row>
    <row r="72" spans="1:6" ht="12.75" customHeight="1" x14ac:dyDescent="0.3">
      <c r="A72" s="2" t="s">
        <v>172</v>
      </c>
      <c r="B72" s="2" t="s">
        <v>10</v>
      </c>
      <c r="C72" s="4">
        <v>1942.46</v>
      </c>
      <c r="D72" s="2" t="s">
        <v>7</v>
      </c>
      <c r="E72" s="3" t="str">
        <f>HYPERLINK("https://springer.com/12868")</f>
        <v>https://springer.com/12868</v>
      </c>
      <c r="F72" s="2" t="s">
        <v>173</v>
      </c>
    </row>
    <row r="73" spans="1:6" ht="12.75" customHeight="1" x14ac:dyDescent="0.3">
      <c r="A73" s="2" t="s">
        <v>174</v>
      </c>
      <c r="B73" s="2" t="s">
        <v>6</v>
      </c>
      <c r="C73" s="4">
        <v>1826.84</v>
      </c>
      <c r="D73" s="2" t="s">
        <v>7</v>
      </c>
      <c r="E73" s="3" t="str">
        <f>HYPERLINK("https://springer.com/12870")</f>
        <v>https://springer.com/12870</v>
      </c>
      <c r="F73" s="2" t="s">
        <v>175</v>
      </c>
    </row>
    <row r="74" spans="1:6" ht="12.75" customHeight="1" x14ac:dyDescent="0.3">
      <c r="A74" s="2" t="s">
        <v>176</v>
      </c>
      <c r="B74" s="2" t="s">
        <v>19</v>
      </c>
      <c r="C74" s="4">
        <v>1826.84</v>
      </c>
      <c r="D74" s="2" t="s">
        <v>7</v>
      </c>
      <c r="E74" s="3" t="str">
        <f>HYPERLINK("https://springer.com/12871")</f>
        <v>https://springer.com/12871</v>
      </c>
      <c r="F74" s="2" t="s">
        <v>177</v>
      </c>
    </row>
    <row r="75" spans="1:6" ht="12.75" customHeight="1" x14ac:dyDescent="0.3">
      <c r="A75" s="2" t="s">
        <v>178</v>
      </c>
      <c r="B75" s="2" t="s">
        <v>19</v>
      </c>
      <c r="C75" s="4">
        <v>1826.84</v>
      </c>
      <c r="D75" s="2" t="s">
        <v>7</v>
      </c>
      <c r="E75" s="3" t="str">
        <f>HYPERLINK("https://springer.com/12872")</f>
        <v>https://springer.com/12872</v>
      </c>
      <c r="F75" s="2" t="s">
        <v>179</v>
      </c>
    </row>
    <row r="76" spans="1:6" ht="12.75" customHeight="1" x14ac:dyDescent="0.3">
      <c r="A76" s="2" t="s">
        <v>180</v>
      </c>
      <c r="B76" s="2" t="s">
        <v>19</v>
      </c>
      <c r="C76" s="4">
        <v>1406.2</v>
      </c>
      <c r="D76" s="2" t="s">
        <v>7</v>
      </c>
      <c r="E76" s="3" t="str">
        <f>HYPERLINK("https://springer.com/12873")</f>
        <v>https://springer.com/12873</v>
      </c>
      <c r="F76" s="2" t="s">
        <v>181</v>
      </c>
    </row>
    <row r="77" spans="1:6" ht="12.75" customHeight="1" x14ac:dyDescent="0.3">
      <c r="A77" s="2" t="s">
        <v>182</v>
      </c>
      <c r="B77" s="2" t="s">
        <v>19</v>
      </c>
      <c r="C77" s="4">
        <v>1938.28</v>
      </c>
      <c r="D77" s="2" t="s">
        <v>7</v>
      </c>
      <c r="E77" s="3" t="str">
        <f>HYPERLINK("https://springer.com/12874")</f>
        <v>https://springer.com/12874</v>
      </c>
      <c r="F77" s="2" t="s">
        <v>183</v>
      </c>
    </row>
    <row r="78" spans="1:6" ht="12.75" customHeight="1" x14ac:dyDescent="0.3">
      <c r="A78" s="2" t="s">
        <v>184</v>
      </c>
      <c r="B78" s="2" t="s">
        <v>19</v>
      </c>
      <c r="C78" s="4">
        <v>1700.76</v>
      </c>
      <c r="D78" s="2" t="s">
        <v>7</v>
      </c>
      <c r="E78" s="3" t="str">
        <f>HYPERLINK("https://springer.com/12875")</f>
        <v>https://springer.com/12875</v>
      </c>
      <c r="F78" s="2" t="s">
        <v>185</v>
      </c>
    </row>
    <row r="79" spans="1:6" ht="12.75" customHeight="1" x14ac:dyDescent="0.3">
      <c r="A79" s="2" t="s">
        <v>186</v>
      </c>
      <c r="B79" s="2" t="s">
        <v>19</v>
      </c>
      <c r="C79" s="4">
        <v>1776.76</v>
      </c>
      <c r="D79" s="2" t="s">
        <v>7</v>
      </c>
      <c r="E79" s="3" t="str">
        <f>HYPERLINK("https://springer.com/12876")</f>
        <v>https://springer.com/12876</v>
      </c>
      <c r="F79" s="2" t="s">
        <v>187</v>
      </c>
    </row>
    <row r="80" spans="1:6" ht="12.75" customHeight="1" x14ac:dyDescent="0.3">
      <c r="A80" s="2" t="s">
        <v>188</v>
      </c>
      <c r="B80" s="2" t="s">
        <v>19</v>
      </c>
      <c r="C80" s="4">
        <v>1918.65</v>
      </c>
      <c r="D80" s="2" t="s">
        <v>7</v>
      </c>
      <c r="E80" s="3" t="str">
        <f>HYPERLINK("https://springer.com/12877")</f>
        <v>https://springer.com/12877</v>
      </c>
      <c r="F80" s="2" t="s">
        <v>189</v>
      </c>
    </row>
    <row r="81" spans="1:6" ht="12.75" customHeight="1" x14ac:dyDescent="0.3">
      <c r="A81" s="2" t="s">
        <v>190</v>
      </c>
      <c r="B81" s="2" t="s">
        <v>19</v>
      </c>
      <c r="C81" s="4">
        <v>1776.76</v>
      </c>
      <c r="D81" s="2" t="s">
        <v>7</v>
      </c>
      <c r="E81" s="3" t="str">
        <f>HYPERLINK("https://springer.com/12879")</f>
        <v>https://springer.com/12879</v>
      </c>
      <c r="F81" s="2" t="s">
        <v>191</v>
      </c>
    </row>
    <row r="82" spans="1:6" ht="12.75" customHeight="1" x14ac:dyDescent="0.3">
      <c r="A82" s="2" t="s">
        <v>192</v>
      </c>
      <c r="B82" s="2" t="s">
        <v>19</v>
      </c>
      <c r="C82" s="4">
        <v>1826.84</v>
      </c>
      <c r="D82" s="2" t="s">
        <v>7</v>
      </c>
      <c r="E82" s="3" t="str">
        <f>HYPERLINK("https://springer.com/12880")</f>
        <v>https://springer.com/12880</v>
      </c>
      <c r="F82" s="2" t="s">
        <v>193</v>
      </c>
    </row>
    <row r="83" spans="1:6" ht="12.75" customHeight="1" x14ac:dyDescent="0.3">
      <c r="A83" s="2" t="s">
        <v>194</v>
      </c>
      <c r="B83" s="2" t="s">
        <v>19</v>
      </c>
      <c r="C83" s="4">
        <v>1776.76</v>
      </c>
      <c r="D83" s="2" t="s">
        <v>7</v>
      </c>
      <c r="E83" s="3" t="str">
        <f>HYPERLINK("https://springer.com/12882")</f>
        <v>https://springer.com/12882</v>
      </c>
      <c r="F83" s="2" t="s">
        <v>195</v>
      </c>
    </row>
    <row r="84" spans="1:6" ht="12.75" customHeight="1" x14ac:dyDescent="0.3">
      <c r="A84" s="2" t="s">
        <v>196</v>
      </c>
      <c r="B84" s="2" t="s">
        <v>19</v>
      </c>
      <c r="C84" s="4">
        <v>1826.84</v>
      </c>
      <c r="D84" s="2" t="s">
        <v>7</v>
      </c>
      <c r="E84" s="3" t="str">
        <f>HYPERLINK("https://springer.com/12883")</f>
        <v>https://springer.com/12883</v>
      </c>
      <c r="F84" s="2" t="s">
        <v>197</v>
      </c>
    </row>
    <row r="85" spans="1:6" ht="12.75" customHeight="1" x14ac:dyDescent="0.3">
      <c r="A85" s="2" t="s">
        <v>198</v>
      </c>
      <c r="B85" s="2" t="s">
        <v>19</v>
      </c>
      <c r="C85" s="4">
        <v>1776.76</v>
      </c>
      <c r="D85" s="2" t="s">
        <v>7</v>
      </c>
      <c r="E85" s="3" t="str">
        <f>HYPERLINK("https://springer.com/12884")</f>
        <v>https://springer.com/12884</v>
      </c>
      <c r="F85" s="2" t="s">
        <v>199</v>
      </c>
    </row>
    <row r="86" spans="1:6" ht="12.75" customHeight="1" x14ac:dyDescent="0.3">
      <c r="A86" s="2" t="s">
        <v>200</v>
      </c>
      <c r="B86" s="2" t="s">
        <v>10</v>
      </c>
      <c r="C86" s="4">
        <v>1899.32</v>
      </c>
      <c r="D86" s="2" t="s">
        <v>7</v>
      </c>
      <c r="E86" s="3" t="str">
        <f>HYPERLINK("https://springer.com/12885")</f>
        <v>https://springer.com/12885</v>
      </c>
      <c r="F86" s="2" t="s">
        <v>201</v>
      </c>
    </row>
    <row r="87" spans="1:6" ht="12.75" customHeight="1" x14ac:dyDescent="0.3">
      <c r="A87" s="2" t="s">
        <v>202</v>
      </c>
      <c r="B87" s="2" t="s">
        <v>19</v>
      </c>
      <c r="C87" s="4">
        <v>1700.76</v>
      </c>
      <c r="D87" s="2" t="s">
        <v>7</v>
      </c>
      <c r="E87" s="3" t="str">
        <f>HYPERLINK("https://springer.com/12886")</f>
        <v>https://springer.com/12886</v>
      </c>
      <c r="F87" s="2" t="s">
        <v>203</v>
      </c>
    </row>
    <row r="88" spans="1:6" ht="12.75" customHeight="1" x14ac:dyDescent="0.3">
      <c r="A88" s="2" t="s">
        <v>204</v>
      </c>
      <c r="B88" s="2" t="s">
        <v>19</v>
      </c>
      <c r="C88" s="4">
        <v>1826.84</v>
      </c>
      <c r="D88" s="2" t="s">
        <v>7</v>
      </c>
      <c r="E88" s="3" t="str">
        <f>HYPERLINK("https://springer.com/12887")</f>
        <v>https://springer.com/12887</v>
      </c>
      <c r="F88" s="2" t="s">
        <v>205</v>
      </c>
    </row>
    <row r="89" spans="1:6" ht="12.75" customHeight="1" x14ac:dyDescent="0.3">
      <c r="A89" s="2" t="s">
        <v>206</v>
      </c>
      <c r="B89" s="2" t="s">
        <v>19</v>
      </c>
      <c r="C89" s="4">
        <v>1890.78</v>
      </c>
      <c r="D89" s="2" t="s">
        <v>7</v>
      </c>
      <c r="E89" s="3" t="str">
        <f>HYPERLINK("https://springer.com/12888")</f>
        <v>https://springer.com/12888</v>
      </c>
      <c r="F89" s="2" t="s">
        <v>207</v>
      </c>
    </row>
    <row r="90" spans="1:6" ht="12.75" customHeight="1" x14ac:dyDescent="0.3">
      <c r="A90" s="2" t="s">
        <v>208</v>
      </c>
      <c r="B90" s="2" t="s">
        <v>19</v>
      </c>
      <c r="C90" s="4">
        <v>2061.8000000000002</v>
      </c>
      <c r="D90" s="2" t="s">
        <v>7</v>
      </c>
      <c r="E90" s="3" t="str">
        <f>HYPERLINK("https://springer.com/12889")</f>
        <v>https://springer.com/12889</v>
      </c>
      <c r="F90" s="2" t="s">
        <v>209</v>
      </c>
    </row>
    <row r="91" spans="1:6" ht="12.75" customHeight="1" x14ac:dyDescent="0.3">
      <c r="A91" s="2" t="s">
        <v>210</v>
      </c>
      <c r="B91" s="2" t="s">
        <v>19</v>
      </c>
      <c r="C91" s="4">
        <v>1826.84</v>
      </c>
      <c r="D91" s="2" t="s">
        <v>7</v>
      </c>
      <c r="E91" s="3" t="str">
        <f>HYPERLINK("https://springer.com/12890")</f>
        <v>https://springer.com/12890</v>
      </c>
      <c r="F91" s="2" t="s">
        <v>211</v>
      </c>
    </row>
    <row r="92" spans="1:6" ht="12.75" customHeight="1" x14ac:dyDescent="0.3">
      <c r="A92" s="2" t="s">
        <v>212</v>
      </c>
      <c r="B92" s="2" t="s">
        <v>19</v>
      </c>
      <c r="C92" s="4">
        <v>1826.84</v>
      </c>
      <c r="D92" s="2" t="s">
        <v>7</v>
      </c>
      <c r="E92" s="3" t="str">
        <f>HYPERLINK("https://springer.com/12891")</f>
        <v>https://springer.com/12891</v>
      </c>
      <c r="F92" s="2" t="s">
        <v>213</v>
      </c>
    </row>
    <row r="93" spans="1:6" ht="12.75" customHeight="1" x14ac:dyDescent="0.3">
      <c r="A93" s="2" t="s">
        <v>214</v>
      </c>
      <c r="B93" s="2" t="s">
        <v>19</v>
      </c>
      <c r="C93" s="4">
        <v>1918.65</v>
      </c>
      <c r="D93" s="2" t="s">
        <v>7</v>
      </c>
      <c r="E93" s="3" t="str">
        <f>HYPERLINK("https://springer.com/12893")</f>
        <v>https://springer.com/12893</v>
      </c>
      <c r="F93" s="2" t="s">
        <v>215</v>
      </c>
    </row>
    <row r="94" spans="1:6" ht="12.75" customHeight="1" x14ac:dyDescent="0.3">
      <c r="A94" s="2" t="s">
        <v>216</v>
      </c>
      <c r="B94" s="2" t="s">
        <v>19</v>
      </c>
      <c r="C94" s="4">
        <v>1700.76</v>
      </c>
      <c r="D94" s="2" t="s">
        <v>7</v>
      </c>
      <c r="E94" s="3" t="str">
        <f>HYPERLINK("https://springer.com/12894")</f>
        <v>https://springer.com/12894</v>
      </c>
      <c r="F94" s="2" t="s">
        <v>217</v>
      </c>
    </row>
    <row r="95" spans="1:6" ht="12.75" customHeight="1" x14ac:dyDescent="0.3">
      <c r="A95" s="2" t="s">
        <v>218</v>
      </c>
      <c r="B95" s="2" t="s">
        <v>25</v>
      </c>
      <c r="C95" s="4">
        <v>1735.04</v>
      </c>
      <c r="D95" s="2" t="s">
        <v>7</v>
      </c>
      <c r="E95" s="3" t="str">
        <f>HYPERLINK("https://springer.com/12896")</f>
        <v>https://springer.com/12896</v>
      </c>
      <c r="F95" s="2" t="s">
        <v>219</v>
      </c>
    </row>
    <row r="96" spans="1:6" ht="12.75" customHeight="1" x14ac:dyDescent="0.3">
      <c r="A96" s="2" t="s">
        <v>220</v>
      </c>
      <c r="B96" s="2" t="s">
        <v>19</v>
      </c>
      <c r="C96" s="4">
        <v>1700.76</v>
      </c>
      <c r="D96" s="2" t="s">
        <v>7</v>
      </c>
      <c r="E96" s="3" t="str">
        <f>HYPERLINK("https://springer.com/12902")</f>
        <v>https://springer.com/12902</v>
      </c>
      <c r="F96" s="2" t="s">
        <v>221</v>
      </c>
    </row>
    <row r="97" spans="1:6" ht="12.75" customHeight="1" x14ac:dyDescent="0.3">
      <c r="A97" s="2" t="s">
        <v>222</v>
      </c>
      <c r="B97" s="2" t="s">
        <v>20</v>
      </c>
      <c r="C97" s="4">
        <v>1776.76</v>
      </c>
      <c r="D97" s="2" t="s">
        <v>7</v>
      </c>
      <c r="E97" s="3" t="str">
        <f>HYPERLINK("https://springer.com/12903")</f>
        <v>https://springer.com/12903</v>
      </c>
      <c r="F97" s="2" t="s">
        <v>223</v>
      </c>
    </row>
    <row r="98" spans="1:6" ht="12.75" customHeight="1" x14ac:dyDescent="0.3">
      <c r="A98" s="2" t="s">
        <v>224</v>
      </c>
      <c r="B98" s="2" t="s">
        <v>19</v>
      </c>
      <c r="C98" s="4">
        <v>1890.78</v>
      </c>
      <c r="D98" s="2" t="s">
        <v>7</v>
      </c>
      <c r="E98" s="3" t="str">
        <f>HYPERLINK("https://springer.com/12904")</f>
        <v>https://springer.com/12904</v>
      </c>
      <c r="F98" s="2" t="s">
        <v>225</v>
      </c>
    </row>
    <row r="99" spans="1:6" ht="12.75" customHeight="1" x14ac:dyDescent="0.3">
      <c r="A99" s="2" t="s">
        <v>226</v>
      </c>
      <c r="B99" s="2" t="s">
        <v>19</v>
      </c>
      <c r="C99" s="4">
        <v>1700.76</v>
      </c>
      <c r="D99" s="2" t="s">
        <v>7</v>
      </c>
      <c r="E99" s="3" t="str">
        <f>HYPERLINK("https://springer.com/12905")</f>
        <v>https://springer.com/12905</v>
      </c>
      <c r="F99" s="2" t="s">
        <v>227</v>
      </c>
    </row>
    <row r="100" spans="1:6" ht="12.75" customHeight="1" x14ac:dyDescent="0.3">
      <c r="A100" s="2" t="s">
        <v>228</v>
      </c>
      <c r="B100" s="2" t="s">
        <v>19</v>
      </c>
      <c r="C100" s="4">
        <v>1809.41</v>
      </c>
      <c r="D100" s="2" t="s">
        <v>7</v>
      </c>
      <c r="E100" s="3" t="str">
        <f>HYPERLINK("https://springer.com/12906")</f>
        <v>https://springer.com/12906</v>
      </c>
      <c r="F100" s="2" t="s">
        <v>229</v>
      </c>
    </row>
    <row r="101" spans="1:6" ht="12.75" customHeight="1" x14ac:dyDescent="0.3">
      <c r="A101" s="2" t="s">
        <v>230</v>
      </c>
      <c r="B101" s="2" t="s">
        <v>68</v>
      </c>
      <c r="C101" s="4">
        <v>1643.24</v>
      </c>
      <c r="D101" s="2" t="s">
        <v>7</v>
      </c>
      <c r="E101" s="3" t="str">
        <f>HYPERLINK("https://springer.com/12909")</f>
        <v>https://springer.com/12909</v>
      </c>
      <c r="F101" s="2" t="s">
        <v>231</v>
      </c>
    </row>
    <row r="102" spans="1:6" ht="12.75" customHeight="1" x14ac:dyDescent="0.3">
      <c r="A102" s="2" t="s">
        <v>232</v>
      </c>
      <c r="B102" s="2" t="s">
        <v>76</v>
      </c>
      <c r="C102" s="4">
        <v>1225.68</v>
      </c>
      <c r="D102" s="2" t="s">
        <v>7</v>
      </c>
      <c r="E102" s="3" t="str">
        <f>HYPERLINK("https://springer.com/12910")</f>
        <v>https://springer.com/12910</v>
      </c>
      <c r="F102" s="2" t="s">
        <v>233</v>
      </c>
    </row>
    <row r="103" spans="1:6" ht="12.75" customHeight="1" x14ac:dyDescent="0.3">
      <c r="A103" s="2" t="s">
        <v>234</v>
      </c>
      <c r="B103" s="2" t="s">
        <v>19</v>
      </c>
      <c r="C103" s="4">
        <v>1735.04</v>
      </c>
      <c r="D103" s="2" t="s">
        <v>7</v>
      </c>
      <c r="E103" s="3" t="str">
        <f>HYPERLINK("https://springer.com/12911")</f>
        <v>https://springer.com/12911</v>
      </c>
      <c r="F103" s="2" t="s">
        <v>235</v>
      </c>
    </row>
    <row r="104" spans="1:6" ht="12.75" customHeight="1" x14ac:dyDescent="0.3">
      <c r="A104" s="2" t="s">
        <v>236</v>
      </c>
      <c r="B104" s="2" t="s">
        <v>19</v>
      </c>
      <c r="C104" s="4">
        <v>1700.76</v>
      </c>
      <c r="D104" s="2" t="s">
        <v>7</v>
      </c>
      <c r="E104" s="3" t="str">
        <f>HYPERLINK("https://springer.com/12912")</f>
        <v>https://springer.com/12912</v>
      </c>
      <c r="F104" s="2" t="s">
        <v>237</v>
      </c>
    </row>
    <row r="105" spans="1:6" ht="12.75" customHeight="1" x14ac:dyDescent="0.3">
      <c r="A105" s="2" t="s">
        <v>238</v>
      </c>
      <c r="B105" s="2" t="s">
        <v>19</v>
      </c>
      <c r="C105" s="4">
        <v>1938.28</v>
      </c>
      <c r="D105" s="2" t="s">
        <v>7</v>
      </c>
      <c r="E105" s="3" t="str">
        <f>HYPERLINK("https://springer.com/12913")</f>
        <v>https://springer.com/12913</v>
      </c>
      <c r="F105" s="2" t="s">
        <v>239</v>
      </c>
    </row>
    <row r="106" spans="1:6" ht="12.75" customHeight="1" x14ac:dyDescent="0.3">
      <c r="A106" s="2" t="s">
        <v>240</v>
      </c>
      <c r="B106" s="2" t="s">
        <v>6</v>
      </c>
      <c r="C106" s="4">
        <v>2297.25</v>
      </c>
      <c r="D106" s="2" t="s">
        <v>7</v>
      </c>
      <c r="E106" s="3" t="str">
        <f>HYPERLINK("https://springer.com/12915")</f>
        <v>https://springer.com/12915</v>
      </c>
      <c r="F106" s="2" t="s">
        <v>241</v>
      </c>
    </row>
    <row r="107" spans="1:6" ht="12.75" customHeight="1" x14ac:dyDescent="0.3">
      <c r="A107" s="2" t="s">
        <v>242</v>
      </c>
      <c r="B107" s="2" t="s">
        <v>19</v>
      </c>
      <c r="C107" s="4">
        <v>2641.32</v>
      </c>
      <c r="D107" s="2" t="s">
        <v>7</v>
      </c>
      <c r="E107" s="3" t="str">
        <f>HYPERLINK("https://springer.com/12916")</f>
        <v>https://springer.com/12916</v>
      </c>
      <c r="F107" s="2" t="s">
        <v>243</v>
      </c>
    </row>
    <row r="108" spans="1:6" ht="12.75" customHeight="1" x14ac:dyDescent="0.3">
      <c r="A108" s="2" t="s">
        <v>244</v>
      </c>
      <c r="B108" s="2" t="s">
        <v>19</v>
      </c>
      <c r="C108" s="4">
        <v>1890.78</v>
      </c>
      <c r="D108" s="2" t="s">
        <v>7</v>
      </c>
      <c r="E108" s="3" t="str">
        <f>HYPERLINK("https://springer.com/12917")</f>
        <v>https://springer.com/12917</v>
      </c>
      <c r="F108" s="2" t="s">
        <v>245</v>
      </c>
    </row>
    <row r="109" spans="1:6" ht="12.75" customHeight="1" x14ac:dyDescent="0.3">
      <c r="A109" s="2" t="s">
        <v>246</v>
      </c>
      <c r="B109" s="2" t="s">
        <v>10</v>
      </c>
      <c r="C109" s="4">
        <v>1890.78</v>
      </c>
      <c r="D109" s="2" t="s">
        <v>7</v>
      </c>
      <c r="E109" s="3" t="str">
        <f>HYPERLINK("https://springer.com/12920")</f>
        <v>https://springer.com/12920</v>
      </c>
      <c r="F109" s="2" t="s">
        <v>247</v>
      </c>
    </row>
    <row r="110" spans="1:6" ht="12.75" customHeight="1" x14ac:dyDescent="0.3">
      <c r="A110" s="2" t="s">
        <v>248</v>
      </c>
      <c r="B110" s="2" t="s">
        <v>19</v>
      </c>
      <c r="C110" s="4">
        <v>2102.2399999999998</v>
      </c>
      <c r="D110" s="2" t="s">
        <v>7</v>
      </c>
      <c r="E110" s="3" t="str">
        <f>HYPERLINK("https://springer.com/12931")</f>
        <v>https://springer.com/12931</v>
      </c>
      <c r="F110" s="2" t="s">
        <v>249</v>
      </c>
    </row>
    <row r="111" spans="1:6" ht="12.75" customHeight="1" x14ac:dyDescent="0.3">
      <c r="A111" s="2" t="s">
        <v>250</v>
      </c>
      <c r="B111" s="2" t="s">
        <v>12</v>
      </c>
      <c r="C111" s="4">
        <v>883.61</v>
      </c>
      <c r="D111" s="2" t="s">
        <v>7</v>
      </c>
      <c r="E111" s="3" t="str">
        <f>HYPERLINK("https://springer.com/12932")</f>
        <v>https://springer.com/12932</v>
      </c>
      <c r="F111" s="2" t="s">
        <v>251</v>
      </c>
    </row>
    <row r="112" spans="1:6" ht="12.75" customHeight="1" x14ac:dyDescent="0.3">
      <c r="A112" s="2" t="s">
        <v>252</v>
      </c>
      <c r="B112" s="2" t="s">
        <v>19</v>
      </c>
      <c r="C112" s="4">
        <v>2441.85</v>
      </c>
      <c r="D112" s="2" t="s">
        <v>7</v>
      </c>
      <c r="E112" s="3" t="str">
        <f>HYPERLINK("https://springer.com/12933")</f>
        <v>https://springer.com/12933</v>
      </c>
      <c r="F112" s="2" t="s">
        <v>253</v>
      </c>
    </row>
    <row r="113" spans="1:6" ht="12.75" customHeight="1" x14ac:dyDescent="0.3">
      <c r="A113" s="2" t="s">
        <v>254</v>
      </c>
      <c r="B113" s="2" t="s">
        <v>25</v>
      </c>
      <c r="C113" s="4">
        <v>1938.28</v>
      </c>
      <c r="D113" s="2" t="s">
        <v>7</v>
      </c>
      <c r="E113" s="3" t="str">
        <f>HYPERLINK("https://springer.com/12934")</f>
        <v>https://springer.com/12934</v>
      </c>
      <c r="F113" s="2" t="s">
        <v>255</v>
      </c>
    </row>
    <row r="114" spans="1:6" ht="12.75" customHeight="1" x14ac:dyDescent="0.3">
      <c r="A114" s="2" t="s">
        <v>256</v>
      </c>
      <c r="B114" s="2" t="s">
        <v>10</v>
      </c>
      <c r="C114" s="4">
        <v>2031.16</v>
      </c>
      <c r="D114" s="2" t="s">
        <v>7</v>
      </c>
      <c r="E114" s="3" t="str">
        <f>HYPERLINK("https://springer.com/12935")</f>
        <v>https://springer.com/12935</v>
      </c>
      <c r="F114" s="2" t="s">
        <v>257</v>
      </c>
    </row>
    <row r="115" spans="1:6" ht="12.75" customHeight="1" x14ac:dyDescent="0.3">
      <c r="A115" s="2" t="s">
        <v>258</v>
      </c>
      <c r="B115" s="2" t="s">
        <v>10</v>
      </c>
      <c r="C115" s="4">
        <v>1776.76</v>
      </c>
      <c r="D115" s="2" t="s">
        <v>7</v>
      </c>
      <c r="E115" s="3" t="str">
        <f>HYPERLINK("https://springer.com/12936")</f>
        <v>https://springer.com/12936</v>
      </c>
      <c r="F115" s="2" t="s">
        <v>259</v>
      </c>
    </row>
    <row r="116" spans="1:6" ht="12.75" customHeight="1" x14ac:dyDescent="0.3">
      <c r="A116" s="2" t="s">
        <v>260</v>
      </c>
      <c r="B116" s="2" t="s">
        <v>19</v>
      </c>
      <c r="C116" s="4">
        <v>1942.46</v>
      </c>
      <c r="D116" s="2" t="s">
        <v>7</v>
      </c>
      <c r="E116" s="3" t="str">
        <f>HYPERLINK("https://springer.com/12937")</f>
        <v>https://springer.com/12937</v>
      </c>
      <c r="F116" s="2" t="s">
        <v>261</v>
      </c>
    </row>
    <row r="117" spans="1:6" ht="12.75" customHeight="1" x14ac:dyDescent="0.3">
      <c r="A117" s="2" t="s">
        <v>262</v>
      </c>
      <c r="B117" s="2" t="s">
        <v>16</v>
      </c>
      <c r="C117" s="4">
        <v>1605.74</v>
      </c>
      <c r="D117" s="2" t="s">
        <v>7</v>
      </c>
      <c r="E117" s="3" t="str">
        <f>HYPERLINK("https://springer.com/12938")</f>
        <v>https://springer.com/12938</v>
      </c>
      <c r="F117" s="2" t="s">
        <v>263</v>
      </c>
    </row>
    <row r="118" spans="1:6" ht="12.75" customHeight="1" x14ac:dyDescent="0.3">
      <c r="A118" s="2" t="s">
        <v>264</v>
      </c>
      <c r="B118" s="2" t="s">
        <v>19</v>
      </c>
      <c r="C118" s="4">
        <v>2061.8000000000002</v>
      </c>
      <c r="D118" s="2" t="s">
        <v>7</v>
      </c>
      <c r="E118" s="3" t="str">
        <f>HYPERLINK("https://springer.com/12939")</f>
        <v>https://springer.com/12939</v>
      </c>
      <c r="F118" s="2" t="s">
        <v>265</v>
      </c>
    </row>
    <row r="119" spans="1:6" ht="12.75" customHeight="1" x14ac:dyDescent="0.3">
      <c r="A119" s="2" t="s">
        <v>266</v>
      </c>
      <c r="B119" s="2" t="s">
        <v>21</v>
      </c>
      <c r="C119" s="4">
        <v>1938.28</v>
      </c>
      <c r="D119" s="2" t="s">
        <v>7</v>
      </c>
      <c r="E119" s="3" t="str">
        <f>HYPERLINK("https://springer.com/12940")</f>
        <v>https://springer.com/12940</v>
      </c>
      <c r="F119" s="2" t="s">
        <v>267</v>
      </c>
    </row>
    <row r="120" spans="1:6" ht="12.75" customHeight="1" x14ac:dyDescent="0.3">
      <c r="A120" s="2" t="s">
        <v>268</v>
      </c>
      <c r="B120" s="2" t="s">
        <v>10</v>
      </c>
      <c r="C120" s="4">
        <v>2031.16</v>
      </c>
      <c r="D120" s="2" t="s">
        <v>7</v>
      </c>
      <c r="E120" s="3" t="str">
        <f>HYPERLINK("https://springer.com/12941")</f>
        <v>https://springer.com/12941</v>
      </c>
      <c r="F120" s="2" t="s">
        <v>269</v>
      </c>
    </row>
    <row r="121" spans="1:6" ht="12.75" customHeight="1" x14ac:dyDescent="0.3">
      <c r="A121" s="2" t="s">
        <v>270</v>
      </c>
      <c r="B121" s="2" t="s">
        <v>19</v>
      </c>
      <c r="C121" s="4">
        <v>2061.8000000000002</v>
      </c>
      <c r="D121" s="2" t="s">
        <v>7</v>
      </c>
      <c r="E121" s="3" t="str">
        <f>HYPERLINK("https://springer.com/12942")</f>
        <v>https://springer.com/12942</v>
      </c>
      <c r="F121" s="2" t="s">
        <v>271</v>
      </c>
    </row>
    <row r="122" spans="1:6" ht="12.75" customHeight="1" x14ac:dyDescent="0.3">
      <c r="A122" s="2" t="s">
        <v>272</v>
      </c>
      <c r="B122" s="2" t="s">
        <v>10</v>
      </c>
      <c r="C122" s="4">
        <v>3303.72</v>
      </c>
      <c r="D122" s="2" t="s">
        <v>7</v>
      </c>
      <c r="E122" s="3" t="str">
        <f>HYPERLINK("https://springer.com/12943")</f>
        <v>https://springer.com/12943</v>
      </c>
      <c r="F122" s="2" t="s">
        <v>273</v>
      </c>
    </row>
    <row r="123" spans="1:6" ht="12.75" customHeight="1" x14ac:dyDescent="0.3">
      <c r="A123" s="2" t="s">
        <v>274</v>
      </c>
      <c r="B123" s="2" t="s">
        <v>6</v>
      </c>
      <c r="C123" s="4">
        <v>1643.24</v>
      </c>
      <c r="D123" s="2" t="s">
        <v>7</v>
      </c>
      <c r="E123" s="3" t="str">
        <f>HYPERLINK("https://springer.com/12944")</f>
        <v>https://springer.com/12944</v>
      </c>
      <c r="F123" s="2" t="s">
        <v>275</v>
      </c>
    </row>
    <row r="124" spans="1:6" ht="12.75" customHeight="1" x14ac:dyDescent="0.3">
      <c r="A124" s="2" t="s">
        <v>276</v>
      </c>
      <c r="B124" s="2" t="s">
        <v>19</v>
      </c>
      <c r="C124" s="4">
        <v>1853.77</v>
      </c>
      <c r="D124" s="2" t="s">
        <v>7</v>
      </c>
      <c r="E124" s="3" t="str">
        <f>HYPERLINK("https://springer.com/12947")</f>
        <v>https://springer.com/12947</v>
      </c>
      <c r="F124" s="2" t="s">
        <v>277</v>
      </c>
    </row>
    <row r="125" spans="1:6" ht="12.75" customHeight="1" x14ac:dyDescent="0.3">
      <c r="A125" s="2" t="s">
        <v>278</v>
      </c>
      <c r="B125" s="2" t="s">
        <v>19</v>
      </c>
      <c r="C125" s="4">
        <v>1643.24</v>
      </c>
      <c r="D125" s="2" t="s">
        <v>7</v>
      </c>
      <c r="E125" s="3" t="str">
        <f>HYPERLINK("https://springer.com/12948")</f>
        <v>https://springer.com/12948</v>
      </c>
      <c r="F125" s="2" t="s">
        <v>279</v>
      </c>
    </row>
    <row r="126" spans="1:6" ht="12.75" customHeight="1" x14ac:dyDescent="0.3">
      <c r="A126" s="2" t="s">
        <v>280</v>
      </c>
      <c r="B126" s="2" t="s">
        <v>10</v>
      </c>
      <c r="C126" s="4">
        <v>2102.2399999999998</v>
      </c>
      <c r="D126" s="2" t="s">
        <v>7</v>
      </c>
      <c r="E126" s="3" t="str">
        <f>HYPERLINK("https://springer.com/12950")</f>
        <v>https://springer.com/12950</v>
      </c>
      <c r="F126" s="2" t="s">
        <v>281</v>
      </c>
    </row>
    <row r="127" spans="1:6" ht="12.75" customHeight="1" x14ac:dyDescent="0.3">
      <c r="A127" s="2" t="s">
        <v>282</v>
      </c>
      <c r="B127" s="2" t="s">
        <v>25</v>
      </c>
      <c r="C127" s="4">
        <v>2175.8200000000002</v>
      </c>
      <c r="D127" s="2" t="s">
        <v>7</v>
      </c>
      <c r="E127" s="3" t="str">
        <f>HYPERLINK("https://springer.com/12951")</f>
        <v>https://springer.com/12951</v>
      </c>
      <c r="F127" s="2" t="s">
        <v>283</v>
      </c>
    </row>
    <row r="128" spans="1:6" ht="12.75" customHeight="1" x14ac:dyDescent="0.3">
      <c r="A128" s="2" t="s">
        <v>284</v>
      </c>
      <c r="B128" s="2" t="s">
        <v>6</v>
      </c>
      <c r="C128" s="4">
        <v>1587.68</v>
      </c>
      <c r="D128" s="2" t="s">
        <v>7</v>
      </c>
      <c r="E128" s="3" t="str">
        <f>HYPERLINK("https://springer.com/12953")</f>
        <v>https://springer.com/12953</v>
      </c>
      <c r="F128" s="2" t="s">
        <v>285</v>
      </c>
    </row>
    <row r="129" spans="1:6" ht="12.75" customHeight="1" x14ac:dyDescent="0.3">
      <c r="A129" s="2" t="s">
        <v>286</v>
      </c>
      <c r="B129" s="2" t="s">
        <v>19</v>
      </c>
      <c r="C129" s="4">
        <v>2061.8000000000002</v>
      </c>
      <c r="D129" s="2" t="s">
        <v>7</v>
      </c>
      <c r="E129" s="3" t="str">
        <f>HYPERLINK("https://springer.com/12954")</f>
        <v>https://springer.com/12954</v>
      </c>
      <c r="F129" s="2" t="s">
        <v>287</v>
      </c>
    </row>
    <row r="130" spans="1:6" ht="12.75" customHeight="1" x14ac:dyDescent="0.3">
      <c r="A130" s="2" t="s">
        <v>288</v>
      </c>
      <c r="B130" s="2" t="s">
        <v>19</v>
      </c>
      <c r="C130" s="4">
        <v>1826.84</v>
      </c>
      <c r="D130" s="2" t="s">
        <v>7</v>
      </c>
      <c r="E130" s="3" t="str">
        <f>HYPERLINK("https://springer.com/12955")</f>
        <v>https://springer.com/12955</v>
      </c>
      <c r="F130" s="2" t="s">
        <v>289</v>
      </c>
    </row>
    <row r="131" spans="1:6" ht="12.75" customHeight="1" x14ac:dyDescent="0.3">
      <c r="A131" s="2" t="s">
        <v>290</v>
      </c>
      <c r="B131" s="2" t="s">
        <v>19</v>
      </c>
      <c r="C131" s="4">
        <v>1890.78</v>
      </c>
      <c r="D131" s="2" t="s">
        <v>7</v>
      </c>
      <c r="E131" s="3" t="str">
        <f>HYPERLINK("https://springer.com/12957")</f>
        <v>https://springer.com/12957</v>
      </c>
      <c r="F131" s="2" t="s">
        <v>291</v>
      </c>
    </row>
    <row r="132" spans="1:6" ht="12.75" customHeight="1" x14ac:dyDescent="0.3">
      <c r="A132" s="2" t="s">
        <v>292</v>
      </c>
      <c r="B132" s="2" t="s">
        <v>19</v>
      </c>
      <c r="C132" s="4">
        <v>2061.8000000000002</v>
      </c>
      <c r="D132" s="2" t="s">
        <v>7</v>
      </c>
      <c r="E132" s="3" t="str">
        <f>HYPERLINK("https://springer.com/12958")</f>
        <v>https://springer.com/12958</v>
      </c>
      <c r="F132" s="2" t="s">
        <v>293</v>
      </c>
    </row>
    <row r="133" spans="1:6" ht="12.75" customHeight="1" x14ac:dyDescent="0.3">
      <c r="A133" s="2" t="s">
        <v>294</v>
      </c>
      <c r="B133" s="2" t="s">
        <v>19</v>
      </c>
      <c r="C133" s="4">
        <v>1890.78</v>
      </c>
      <c r="D133" s="2" t="s">
        <v>7</v>
      </c>
      <c r="E133" s="3" t="str">
        <f>HYPERLINK("https://springer.com/12959")</f>
        <v>https://springer.com/12959</v>
      </c>
      <c r="F133" s="2" t="s">
        <v>295</v>
      </c>
    </row>
    <row r="134" spans="1:6" ht="12.75" customHeight="1" x14ac:dyDescent="0.3">
      <c r="A134" s="2" t="s">
        <v>296</v>
      </c>
      <c r="B134" s="2" t="s">
        <v>19</v>
      </c>
      <c r="C134" s="4">
        <v>2061.8000000000002</v>
      </c>
      <c r="D134" s="2" t="s">
        <v>7</v>
      </c>
      <c r="E134" s="3" t="str">
        <f>HYPERLINK("https://springer.com/12960")</f>
        <v>https://springer.com/12960</v>
      </c>
      <c r="F134" s="2" t="s">
        <v>297</v>
      </c>
    </row>
    <row r="135" spans="1:6" ht="12.75" customHeight="1" x14ac:dyDescent="0.3">
      <c r="A135" s="2" t="s">
        <v>298</v>
      </c>
      <c r="B135" s="2" t="s">
        <v>19</v>
      </c>
      <c r="C135" s="4">
        <v>2010.44</v>
      </c>
      <c r="D135" s="2" t="s">
        <v>7</v>
      </c>
      <c r="E135" s="3" t="str">
        <f>HYPERLINK("https://springer.com/12961")</f>
        <v>https://springer.com/12961</v>
      </c>
      <c r="F135" s="2" t="s">
        <v>299</v>
      </c>
    </row>
    <row r="136" spans="1:6" ht="12.75" customHeight="1" x14ac:dyDescent="0.3">
      <c r="A136" s="2" t="s">
        <v>300</v>
      </c>
      <c r="B136" s="2" t="s">
        <v>19</v>
      </c>
      <c r="C136" s="4">
        <v>1735.04</v>
      </c>
      <c r="D136" s="2" t="s">
        <v>7</v>
      </c>
      <c r="E136" s="3" t="str">
        <f>HYPERLINK("https://springer.com/12962")</f>
        <v>https://springer.com/12962</v>
      </c>
      <c r="F136" s="2" t="s">
        <v>301</v>
      </c>
    </row>
    <row r="137" spans="1:6" ht="12.75" customHeight="1" x14ac:dyDescent="0.3">
      <c r="A137" s="2" t="s">
        <v>302</v>
      </c>
      <c r="B137" s="2" t="s">
        <v>19</v>
      </c>
      <c r="C137" s="4">
        <v>1765.07</v>
      </c>
      <c r="D137" s="2" t="s">
        <v>7</v>
      </c>
      <c r="E137" s="3" t="str">
        <f>HYPERLINK("https://springer.com/12963")</f>
        <v>https://springer.com/12963</v>
      </c>
      <c r="F137" s="2" t="s">
        <v>303</v>
      </c>
    </row>
    <row r="138" spans="1:6" ht="12.75" customHeight="1" x14ac:dyDescent="0.3">
      <c r="A138" s="2" t="s">
        <v>304</v>
      </c>
      <c r="B138" s="2" t="s">
        <v>6</v>
      </c>
      <c r="C138" s="4">
        <v>2310.12</v>
      </c>
      <c r="D138" s="2" t="s">
        <v>7</v>
      </c>
      <c r="E138" s="3" t="str">
        <f>HYPERLINK("https://springer.com/12964")</f>
        <v>https://springer.com/12964</v>
      </c>
      <c r="F138" s="2" t="s">
        <v>305</v>
      </c>
    </row>
    <row r="139" spans="1:6" ht="12.75" customHeight="1" x14ac:dyDescent="0.3">
      <c r="A139" s="2" t="s">
        <v>306</v>
      </c>
      <c r="B139" s="2" t="s">
        <v>19</v>
      </c>
      <c r="C139" s="4">
        <v>2061.8000000000002</v>
      </c>
      <c r="D139" s="2" t="s">
        <v>117</v>
      </c>
      <c r="E139" s="3" t="str">
        <f>HYPERLINK("https://springer.com/12966")</f>
        <v>https://springer.com/12966</v>
      </c>
      <c r="F139" s="2" t="s">
        <v>307</v>
      </c>
    </row>
    <row r="140" spans="1:6" ht="12.75" customHeight="1" x14ac:dyDescent="0.3">
      <c r="A140" s="2" t="s">
        <v>308</v>
      </c>
      <c r="B140" s="2" t="s">
        <v>10</v>
      </c>
      <c r="C140" s="4">
        <v>2285.85</v>
      </c>
      <c r="D140" s="2" t="s">
        <v>7</v>
      </c>
      <c r="E140" s="3" t="str">
        <f>HYPERLINK("https://springer.com/12967")</f>
        <v>https://springer.com/12967</v>
      </c>
      <c r="F140" s="2" t="s">
        <v>309</v>
      </c>
    </row>
    <row r="141" spans="1:6" ht="12.75" customHeight="1" x14ac:dyDescent="0.3">
      <c r="A141" s="2" t="s">
        <v>310</v>
      </c>
      <c r="B141" s="2" t="s">
        <v>19</v>
      </c>
      <c r="C141" s="4">
        <v>1942.46</v>
      </c>
      <c r="D141" s="2" t="s">
        <v>7</v>
      </c>
      <c r="E141" s="3" t="str">
        <f>HYPERLINK("https://springer.com/12969")</f>
        <v>https://springer.com/12969</v>
      </c>
      <c r="F141" s="2" t="s">
        <v>311</v>
      </c>
    </row>
    <row r="142" spans="1:6" ht="12.75" customHeight="1" x14ac:dyDescent="0.3">
      <c r="A142" s="2" t="s">
        <v>312</v>
      </c>
      <c r="B142" s="2" t="s">
        <v>10</v>
      </c>
      <c r="C142" s="4">
        <v>2261.33</v>
      </c>
      <c r="D142" s="2" t="s">
        <v>7</v>
      </c>
      <c r="E142" s="3" t="str">
        <f>HYPERLINK("https://springer.com/12974")</f>
        <v>https://springer.com/12974</v>
      </c>
      <c r="F142" s="2" t="s">
        <v>313</v>
      </c>
    </row>
    <row r="143" spans="1:6" ht="12.75" customHeight="1" x14ac:dyDescent="0.3">
      <c r="A143" s="2" t="s">
        <v>314</v>
      </c>
      <c r="B143" s="2" t="s">
        <v>10</v>
      </c>
      <c r="C143" s="4">
        <v>1876.78</v>
      </c>
      <c r="D143" s="2" t="s">
        <v>117</v>
      </c>
      <c r="E143" s="3" t="str">
        <f>HYPERLINK("https://springer.com/12977")</f>
        <v>https://springer.com/12977</v>
      </c>
      <c r="F143" s="2" t="s">
        <v>315</v>
      </c>
    </row>
    <row r="144" spans="1:6" ht="12.75" customHeight="1" x14ac:dyDescent="0.3">
      <c r="A144" s="2" t="s">
        <v>316</v>
      </c>
      <c r="B144" s="2" t="s">
        <v>19</v>
      </c>
      <c r="C144" s="4">
        <v>2010.44</v>
      </c>
      <c r="D144" s="2" t="s">
        <v>7</v>
      </c>
      <c r="E144" s="3" t="str">
        <f>HYPERLINK("https://springer.com/12978")</f>
        <v>https://springer.com/12978</v>
      </c>
      <c r="F144" s="2" t="s">
        <v>317</v>
      </c>
    </row>
    <row r="145" spans="1:6" ht="12.75" customHeight="1" x14ac:dyDescent="0.3">
      <c r="A145" s="2" t="s">
        <v>318</v>
      </c>
      <c r="B145" s="2" t="s">
        <v>10</v>
      </c>
      <c r="C145" s="4">
        <v>2031.16</v>
      </c>
      <c r="D145" s="2" t="s">
        <v>7</v>
      </c>
      <c r="E145" s="3" t="str">
        <f>HYPERLINK("https://springer.com/12979")</f>
        <v>https://springer.com/12979</v>
      </c>
      <c r="F145" s="2" t="s">
        <v>319</v>
      </c>
    </row>
    <row r="146" spans="1:6" ht="12.75" customHeight="1" x14ac:dyDescent="0.3">
      <c r="A146" s="2" t="s">
        <v>320</v>
      </c>
      <c r="B146" s="2" t="s">
        <v>19</v>
      </c>
      <c r="C146" s="4">
        <v>1942.46</v>
      </c>
      <c r="D146" s="2" t="s">
        <v>7</v>
      </c>
      <c r="E146" s="3" t="str">
        <f>HYPERLINK("https://springer.com/12981")</f>
        <v>https://springer.com/12981</v>
      </c>
      <c r="F146" s="2" t="s">
        <v>321</v>
      </c>
    </row>
    <row r="147" spans="1:6" ht="12.75" customHeight="1" x14ac:dyDescent="0.3">
      <c r="A147" s="2" t="s">
        <v>322</v>
      </c>
      <c r="B147" s="2" t="s">
        <v>6</v>
      </c>
      <c r="C147" s="4">
        <v>1890.78</v>
      </c>
      <c r="D147" s="2" t="s">
        <v>117</v>
      </c>
      <c r="E147" s="3" t="str">
        <f>HYPERLINK("https://springer.com/12983")</f>
        <v>https://springer.com/12983</v>
      </c>
      <c r="F147" s="2" t="s">
        <v>323</v>
      </c>
    </row>
    <row r="148" spans="1:6" ht="12.75" customHeight="1" x14ac:dyDescent="0.3">
      <c r="A148" s="2" t="s">
        <v>324</v>
      </c>
      <c r="B148" s="2" t="s">
        <v>10</v>
      </c>
      <c r="C148" s="4">
        <v>2175.8200000000002</v>
      </c>
      <c r="D148" s="2" t="s">
        <v>7</v>
      </c>
      <c r="E148" s="3" t="str">
        <f>HYPERLINK("https://springer.com/12984")</f>
        <v>https://springer.com/12984</v>
      </c>
      <c r="F148" s="2" t="s">
        <v>325</v>
      </c>
    </row>
    <row r="149" spans="1:6" ht="12.75" customHeight="1" x14ac:dyDescent="0.3">
      <c r="A149" s="2" t="s">
        <v>326</v>
      </c>
      <c r="B149" s="2" t="s">
        <v>10</v>
      </c>
      <c r="C149" s="4">
        <v>1938.28</v>
      </c>
      <c r="D149" s="2" t="s">
        <v>7</v>
      </c>
      <c r="E149" s="3" t="str">
        <f>HYPERLINK("https://springer.com/12985")</f>
        <v>https://springer.com/12985</v>
      </c>
      <c r="F149" s="2" t="s">
        <v>327</v>
      </c>
    </row>
    <row r="150" spans="1:6" ht="12.75" customHeight="1" x14ac:dyDescent="0.3">
      <c r="A150" s="2" t="s">
        <v>328</v>
      </c>
      <c r="B150" s="2" t="s">
        <v>19</v>
      </c>
      <c r="C150" s="4">
        <v>2102.2399999999998</v>
      </c>
      <c r="D150" s="2" t="s">
        <v>7</v>
      </c>
      <c r="E150" s="3" t="str">
        <f>HYPERLINK("https://springer.com/12986")</f>
        <v>https://springer.com/12986</v>
      </c>
      <c r="F150" s="2" t="s">
        <v>329</v>
      </c>
    </row>
    <row r="151" spans="1:6" ht="12.75" customHeight="1" x14ac:dyDescent="0.3">
      <c r="A151" s="2" t="s">
        <v>330</v>
      </c>
      <c r="B151" s="2" t="s">
        <v>10</v>
      </c>
      <c r="C151" s="4">
        <v>2061.8000000000002</v>
      </c>
      <c r="D151" s="2" t="s">
        <v>7</v>
      </c>
      <c r="E151" s="3" t="str">
        <f>HYPERLINK("https://springer.com/12987")</f>
        <v>https://springer.com/12987</v>
      </c>
      <c r="F151" s="2" t="s">
        <v>331</v>
      </c>
    </row>
    <row r="152" spans="1:6" ht="12.75" customHeight="1" x14ac:dyDescent="0.3">
      <c r="A152" s="2" t="s">
        <v>332</v>
      </c>
      <c r="B152" s="2" t="s">
        <v>10</v>
      </c>
      <c r="C152" s="4">
        <v>2546.38</v>
      </c>
      <c r="D152" s="2" t="s">
        <v>7</v>
      </c>
      <c r="E152" s="3" t="str">
        <f>HYPERLINK("https://springer.com/12989")</f>
        <v>https://springer.com/12989</v>
      </c>
      <c r="F152" s="2" t="s">
        <v>333</v>
      </c>
    </row>
    <row r="153" spans="1:6" ht="12.75" customHeight="1" x14ac:dyDescent="0.3">
      <c r="A153" s="2" t="s">
        <v>334</v>
      </c>
      <c r="B153" s="2" t="s">
        <v>19</v>
      </c>
      <c r="C153" s="4">
        <v>1918.65</v>
      </c>
      <c r="D153" s="2" t="s">
        <v>7</v>
      </c>
      <c r="E153" s="3" t="str">
        <f>HYPERLINK("https://springer.com/12991")</f>
        <v>https://springer.com/12991</v>
      </c>
      <c r="F153" s="2" t="s">
        <v>335</v>
      </c>
    </row>
    <row r="154" spans="1:6" ht="12.75" customHeight="1" x14ac:dyDescent="0.3">
      <c r="A154" s="2" t="s">
        <v>336</v>
      </c>
      <c r="B154" s="2" t="s">
        <v>19</v>
      </c>
      <c r="C154" s="4">
        <v>1938.28</v>
      </c>
      <c r="D154" s="2" t="s">
        <v>7</v>
      </c>
      <c r="E154" s="3" t="str">
        <f>HYPERLINK("https://springer.com/12992")</f>
        <v>https://springer.com/12992</v>
      </c>
      <c r="F154" s="2" t="s">
        <v>337</v>
      </c>
    </row>
    <row r="155" spans="1:6" ht="12.75" customHeight="1" x14ac:dyDescent="0.3">
      <c r="A155" s="2" t="s">
        <v>338</v>
      </c>
      <c r="B155" s="2" t="s">
        <v>10</v>
      </c>
      <c r="C155" s="4">
        <v>2031.16</v>
      </c>
      <c r="D155" s="2" t="s">
        <v>7</v>
      </c>
      <c r="E155" s="3" t="str">
        <f>HYPERLINK("https://springer.com/12993")</f>
        <v>https://springer.com/12993</v>
      </c>
      <c r="F155" s="2" t="s">
        <v>339</v>
      </c>
    </row>
    <row r="156" spans="1:6" ht="12.75" customHeight="1" x14ac:dyDescent="0.3">
      <c r="A156" s="2" t="s">
        <v>340</v>
      </c>
      <c r="B156" s="2" t="s">
        <v>19</v>
      </c>
      <c r="C156" s="4">
        <v>1938.28</v>
      </c>
      <c r="D156" s="2" t="s">
        <v>7</v>
      </c>
      <c r="E156" s="3" t="str">
        <f>HYPERLINK("https://springer.com/12995")</f>
        <v>https://springer.com/12995</v>
      </c>
      <c r="F156" s="2" t="s">
        <v>341</v>
      </c>
    </row>
    <row r="157" spans="1:6" ht="12.75" customHeight="1" x14ac:dyDescent="0.3">
      <c r="A157" s="2" t="s">
        <v>342</v>
      </c>
      <c r="B157" s="2" t="s">
        <v>19</v>
      </c>
      <c r="C157" s="4">
        <v>1206.67</v>
      </c>
      <c r="D157" s="2" t="s">
        <v>117</v>
      </c>
      <c r="E157" s="3" t="str">
        <f>HYPERLINK("https://springer.com/12998")</f>
        <v>https://springer.com/12998</v>
      </c>
      <c r="F157" s="2" t="s">
        <v>343</v>
      </c>
    </row>
    <row r="158" spans="1:6" ht="12.75" customHeight="1" x14ac:dyDescent="0.3">
      <c r="A158" s="2" t="s">
        <v>344</v>
      </c>
      <c r="B158" s="2" t="s">
        <v>19</v>
      </c>
      <c r="C158" s="4">
        <v>2010.44</v>
      </c>
      <c r="D158" s="2" t="s">
        <v>7</v>
      </c>
      <c r="E158" s="3" t="str">
        <f>HYPERLINK("https://springer.com/13000")</f>
        <v>https://springer.com/13000</v>
      </c>
      <c r="F158" s="2" t="s">
        <v>345</v>
      </c>
    </row>
    <row r="159" spans="1:6" ht="12.75" customHeight="1" x14ac:dyDescent="0.3">
      <c r="A159" s="2" t="s">
        <v>346</v>
      </c>
      <c r="B159" s="2" t="s">
        <v>19</v>
      </c>
      <c r="C159" s="4">
        <v>2010.44</v>
      </c>
      <c r="D159" s="2" t="s">
        <v>7</v>
      </c>
      <c r="E159" s="3" t="str">
        <f>HYPERLINK("https://springer.com/13002")</f>
        <v>https://springer.com/13002</v>
      </c>
      <c r="F159" s="2" t="s">
        <v>347</v>
      </c>
    </row>
    <row r="160" spans="1:6" ht="12.75" customHeight="1" x14ac:dyDescent="0.3">
      <c r="A160" s="2" t="s">
        <v>348</v>
      </c>
      <c r="B160" s="2" t="s">
        <v>19</v>
      </c>
      <c r="C160" s="4">
        <v>1776.76</v>
      </c>
      <c r="D160" s="2" t="s">
        <v>7</v>
      </c>
      <c r="E160" s="3" t="str">
        <f>HYPERLINK("https://springer.com/13005")</f>
        <v>https://springer.com/13005</v>
      </c>
      <c r="F160" s="2" t="s">
        <v>349</v>
      </c>
    </row>
    <row r="161" spans="1:6" ht="12.75" customHeight="1" x14ac:dyDescent="0.3">
      <c r="A161" s="2" t="s">
        <v>350</v>
      </c>
      <c r="B161" s="2" t="s">
        <v>19</v>
      </c>
      <c r="C161" s="4">
        <v>1826.84</v>
      </c>
      <c r="D161" s="2" t="s">
        <v>7</v>
      </c>
      <c r="E161" s="3" t="str">
        <f>HYPERLINK("https://springer.com/13006")</f>
        <v>https://springer.com/13006</v>
      </c>
      <c r="F161" s="2" t="s">
        <v>351</v>
      </c>
    </row>
    <row r="162" spans="1:6" ht="12.75" customHeight="1" x14ac:dyDescent="0.3">
      <c r="A162" s="2" t="s">
        <v>352</v>
      </c>
      <c r="B162" s="2" t="s">
        <v>6</v>
      </c>
      <c r="C162" s="4">
        <v>1826.84</v>
      </c>
      <c r="D162" s="2" t="s">
        <v>7</v>
      </c>
      <c r="E162" s="3" t="str">
        <f>HYPERLINK("https://springer.com/13007")</f>
        <v>https://springer.com/13007</v>
      </c>
      <c r="F162" s="2" t="s">
        <v>353</v>
      </c>
    </row>
    <row r="163" spans="1:6" ht="12.75" customHeight="1" x14ac:dyDescent="0.3">
      <c r="A163" s="2" t="s">
        <v>354</v>
      </c>
      <c r="B163" s="2" t="s">
        <v>6</v>
      </c>
      <c r="C163" s="4">
        <v>2048.17</v>
      </c>
      <c r="D163" s="2" t="s">
        <v>7</v>
      </c>
      <c r="E163" s="3" t="str">
        <f>HYPERLINK("https://springer.com/13008")</f>
        <v>https://springer.com/13008</v>
      </c>
      <c r="F163" s="2" t="s">
        <v>355</v>
      </c>
    </row>
    <row r="164" spans="1:6" ht="12.75" customHeight="1" x14ac:dyDescent="0.3">
      <c r="A164" s="2" t="s">
        <v>356</v>
      </c>
      <c r="B164" s="2" t="s">
        <v>76</v>
      </c>
      <c r="C164" s="4">
        <v>1007.14</v>
      </c>
      <c r="D164" s="2" t="s">
        <v>7</v>
      </c>
      <c r="E164" s="3" t="str">
        <f>HYPERLINK("https://springer.com/13010")</f>
        <v>https://springer.com/13010</v>
      </c>
      <c r="F164" s="2" t="s">
        <v>357</v>
      </c>
    </row>
    <row r="165" spans="1:6" ht="12.75" customHeight="1" x14ac:dyDescent="0.3">
      <c r="A165" s="2" t="s">
        <v>358</v>
      </c>
      <c r="B165" s="2" t="s">
        <v>19</v>
      </c>
      <c r="C165" s="4">
        <v>1938.28</v>
      </c>
      <c r="D165" s="2" t="s">
        <v>7</v>
      </c>
      <c r="E165" s="3" t="str">
        <f>HYPERLINK("https://springer.com/13011")</f>
        <v>https://springer.com/13011</v>
      </c>
      <c r="F165" s="2" t="s">
        <v>359</v>
      </c>
    </row>
    <row r="166" spans="1:6" ht="12.75" customHeight="1" x14ac:dyDescent="0.3">
      <c r="A166" s="2" t="s">
        <v>360</v>
      </c>
      <c r="B166" s="2" t="s">
        <v>19</v>
      </c>
      <c r="C166" s="4">
        <v>2061.8000000000002</v>
      </c>
      <c r="D166" s="2" t="s">
        <v>7</v>
      </c>
      <c r="E166" s="3" t="str">
        <f>HYPERLINK("https://springer.com/13012")</f>
        <v>https://springer.com/13012</v>
      </c>
      <c r="F166" s="2" t="s">
        <v>361</v>
      </c>
    </row>
    <row r="167" spans="1:6" ht="12.75" customHeight="1" x14ac:dyDescent="0.3">
      <c r="A167" s="2" t="s">
        <v>362</v>
      </c>
      <c r="B167" s="2" t="s">
        <v>10</v>
      </c>
      <c r="C167" s="4">
        <v>2010.44</v>
      </c>
      <c r="D167" s="2" t="s">
        <v>7</v>
      </c>
      <c r="E167" s="3" t="str">
        <f>HYPERLINK("https://springer.com/13014")</f>
        <v>https://springer.com/13014</v>
      </c>
      <c r="F167" s="2" t="s">
        <v>363</v>
      </c>
    </row>
    <row r="168" spans="1:6" ht="12.75" customHeight="1" x14ac:dyDescent="0.3">
      <c r="A168" s="2" t="s">
        <v>364</v>
      </c>
      <c r="B168" s="2" t="s">
        <v>6</v>
      </c>
      <c r="C168" s="4">
        <v>1587.68</v>
      </c>
      <c r="D168" s="2" t="s">
        <v>7</v>
      </c>
      <c r="E168" s="3" t="str">
        <f>HYPERLINK("https://springer.com/13015")</f>
        <v>https://springer.com/13015</v>
      </c>
      <c r="F168" s="2" t="s">
        <v>365</v>
      </c>
    </row>
    <row r="169" spans="1:6" ht="12.75" customHeight="1" x14ac:dyDescent="0.3">
      <c r="A169" s="2" t="s">
        <v>366</v>
      </c>
      <c r="B169" s="2" t="s">
        <v>19</v>
      </c>
      <c r="C169" s="4">
        <v>2365.85</v>
      </c>
      <c r="D169" s="2" t="s">
        <v>7</v>
      </c>
      <c r="E169" s="3" t="str">
        <f>HYPERLINK("https://springer.com/13017")</f>
        <v>https://springer.com/13017</v>
      </c>
      <c r="F169" s="2" t="s">
        <v>367</v>
      </c>
    </row>
    <row r="170" spans="1:6" ht="12.75" customHeight="1" x14ac:dyDescent="0.3">
      <c r="A170" s="2" t="s">
        <v>368</v>
      </c>
      <c r="B170" s="2" t="s">
        <v>19</v>
      </c>
      <c r="C170" s="4">
        <v>1826.84</v>
      </c>
      <c r="D170" s="2" t="s">
        <v>7</v>
      </c>
      <c r="E170" s="3" t="str">
        <f>HYPERLINK("https://springer.com/13018")</f>
        <v>https://springer.com/13018</v>
      </c>
      <c r="F170" s="2" t="s">
        <v>369</v>
      </c>
    </row>
    <row r="171" spans="1:6" ht="12.75" customHeight="1" x14ac:dyDescent="0.3">
      <c r="A171" s="2" t="s">
        <v>370</v>
      </c>
      <c r="B171" s="2" t="s">
        <v>19</v>
      </c>
      <c r="C171" s="4">
        <v>1765.07</v>
      </c>
      <c r="D171" s="2" t="s">
        <v>7</v>
      </c>
      <c r="E171" s="3" t="str">
        <f>HYPERLINK("https://springer.com/13019")</f>
        <v>https://springer.com/13019</v>
      </c>
      <c r="F171" s="2" t="s">
        <v>371</v>
      </c>
    </row>
    <row r="172" spans="1:6" ht="12.75" customHeight="1" x14ac:dyDescent="0.3">
      <c r="A172" s="2" t="s">
        <v>372</v>
      </c>
      <c r="B172" s="2" t="s">
        <v>19</v>
      </c>
      <c r="C172" s="4">
        <v>1992</v>
      </c>
      <c r="D172" s="2" t="s">
        <v>117</v>
      </c>
      <c r="E172" s="3" t="str">
        <f>HYPERLINK("https://springer.com/13020")</f>
        <v>https://springer.com/13020</v>
      </c>
      <c r="F172" s="2" t="s">
        <v>373</v>
      </c>
    </row>
    <row r="173" spans="1:6" ht="12.75" customHeight="1" x14ac:dyDescent="0.3">
      <c r="A173" s="2" t="s">
        <v>374</v>
      </c>
      <c r="B173" s="2" t="s">
        <v>21</v>
      </c>
      <c r="C173" s="4">
        <v>1007.14</v>
      </c>
      <c r="D173" s="2" t="s">
        <v>7</v>
      </c>
      <c r="E173" s="3" t="str">
        <f>HYPERLINK("https://springer.com/13021")</f>
        <v>https://springer.com/13021</v>
      </c>
      <c r="F173" s="2" t="s">
        <v>375</v>
      </c>
    </row>
    <row r="174" spans="1:6" ht="12.75" customHeight="1" x14ac:dyDescent="0.3">
      <c r="A174" s="2" t="s">
        <v>376</v>
      </c>
      <c r="B174" s="2" t="s">
        <v>19</v>
      </c>
      <c r="C174" s="4">
        <v>1924.72</v>
      </c>
      <c r="D174" s="2" t="s">
        <v>117</v>
      </c>
      <c r="E174" s="3" t="str">
        <f>HYPERLINK("https://springer.com/13023")</f>
        <v>https://springer.com/13023</v>
      </c>
      <c r="F174" s="2" t="s">
        <v>377</v>
      </c>
    </row>
    <row r="175" spans="1:6" ht="12.75" customHeight="1" x14ac:dyDescent="0.3">
      <c r="A175" s="2" t="s">
        <v>378</v>
      </c>
      <c r="B175" s="2" t="s">
        <v>10</v>
      </c>
      <c r="C175" s="4">
        <v>2000.04</v>
      </c>
      <c r="D175" s="2" t="s">
        <v>117</v>
      </c>
      <c r="E175" s="3" t="str">
        <f>HYPERLINK("https://springer.com/13024")</f>
        <v>https://springer.com/13024</v>
      </c>
      <c r="F175" s="2" t="s">
        <v>379</v>
      </c>
    </row>
    <row r="176" spans="1:6" ht="12.75" customHeight="1" x14ac:dyDescent="0.3">
      <c r="A176" s="2" t="s">
        <v>380</v>
      </c>
      <c r="B176" s="2" t="s">
        <v>10</v>
      </c>
      <c r="C176" s="4">
        <v>1890.78</v>
      </c>
      <c r="D176" s="2" t="s">
        <v>7</v>
      </c>
      <c r="E176" s="3" t="str">
        <f>HYPERLINK("https://springer.com/13027")</f>
        <v>https://springer.com/13027</v>
      </c>
      <c r="F176" s="2" t="s">
        <v>381</v>
      </c>
    </row>
    <row r="177" spans="1:6" ht="12.75" customHeight="1" x14ac:dyDescent="0.3">
      <c r="A177" s="2" t="s">
        <v>382</v>
      </c>
      <c r="B177" s="2" t="s">
        <v>19</v>
      </c>
      <c r="C177" s="4">
        <v>1853.77</v>
      </c>
      <c r="D177" s="2" t="s">
        <v>117</v>
      </c>
      <c r="E177" s="3" t="str">
        <f>HYPERLINK("https://springer.com/13028")</f>
        <v>https://springer.com/13028</v>
      </c>
      <c r="F177" s="2" t="s">
        <v>383</v>
      </c>
    </row>
    <row r="178" spans="1:6" ht="12.75" customHeight="1" x14ac:dyDescent="0.3">
      <c r="A178" s="2" t="s">
        <v>384</v>
      </c>
      <c r="B178" s="2" t="s">
        <v>19</v>
      </c>
      <c r="C178" s="4">
        <v>1592</v>
      </c>
      <c r="D178" s="2" t="s">
        <v>117</v>
      </c>
      <c r="E178" s="3" t="str">
        <f>HYPERLINK("https://springer.com/13030")</f>
        <v>https://springer.com/13030</v>
      </c>
      <c r="F178" s="2" t="s">
        <v>385</v>
      </c>
    </row>
    <row r="179" spans="1:6" ht="12.75" customHeight="1" x14ac:dyDescent="0.3">
      <c r="A179" s="2" t="s">
        <v>386</v>
      </c>
      <c r="B179" s="2" t="s">
        <v>19</v>
      </c>
      <c r="C179" s="4">
        <v>1918.65</v>
      </c>
      <c r="D179" s="2" t="s">
        <v>7</v>
      </c>
      <c r="E179" s="3" t="str">
        <f>HYPERLINK("https://springer.com/13031")</f>
        <v>https://springer.com/13031</v>
      </c>
      <c r="F179" s="2" t="s">
        <v>387</v>
      </c>
    </row>
    <row r="180" spans="1:6" ht="12.75" customHeight="1" x14ac:dyDescent="0.3">
      <c r="A180" s="2" t="s">
        <v>388</v>
      </c>
      <c r="B180" s="2" t="s">
        <v>19</v>
      </c>
      <c r="C180" s="4">
        <v>1890.78</v>
      </c>
      <c r="D180" s="2" t="s">
        <v>7</v>
      </c>
      <c r="E180" s="3" t="str">
        <f>HYPERLINK("https://springer.com/13033")</f>
        <v>https://springer.com/13033</v>
      </c>
      <c r="F180" s="2" t="s">
        <v>389</v>
      </c>
    </row>
    <row r="181" spans="1:6" ht="12.75" customHeight="1" x14ac:dyDescent="0.3">
      <c r="A181" s="2" t="s">
        <v>390</v>
      </c>
      <c r="B181" s="2" t="s">
        <v>19</v>
      </c>
      <c r="C181" s="4">
        <v>1918.65</v>
      </c>
      <c r="D181" s="2" t="s">
        <v>117</v>
      </c>
      <c r="E181" s="3" t="str">
        <f>HYPERLINK("https://springer.com/13034")</f>
        <v>https://springer.com/13034</v>
      </c>
      <c r="F181" s="2" t="s">
        <v>391</v>
      </c>
    </row>
    <row r="182" spans="1:6" ht="12.75" customHeight="1" x14ac:dyDescent="0.3">
      <c r="A182" s="2" t="s">
        <v>392</v>
      </c>
      <c r="B182" s="2" t="s">
        <v>16</v>
      </c>
      <c r="C182" s="4">
        <v>1735.04</v>
      </c>
      <c r="D182" s="2" t="s">
        <v>7</v>
      </c>
      <c r="E182" s="3" t="str">
        <f>HYPERLINK("https://springer.com/13036")</f>
        <v>https://springer.com/13036</v>
      </c>
      <c r="F182" s="2" t="s">
        <v>393</v>
      </c>
    </row>
    <row r="183" spans="1:6" ht="12.75" customHeight="1" x14ac:dyDescent="0.3">
      <c r="A183" s="2" t="s">
        <v>394</v>
      </c>
      <c r="B183" s="2" t="s">
        <v>19</v>
      </c>
      <c r="C183" s="4">
        <v>1938.28</v>
      </c>
      <c r="D183" s="2" t="s">
        <v>7</v>
      </c>
      <c r="E183" s="3" t="str">
        <f>HYPERLINK("https://springer.com/13037")</f>
        <v>https://springer.com/13037</v>
      </c>
      <c r="F183" s="2" t="s">
        <v>395</v>
      </c>
    </row>
    <row r="184" spans="1:6" ht="12.75" customHeight="1" x14ac:dyDescent="0.3">
      <c r="A184" s="2" t="s">
        <v>396</v>
      </c>
      <c r="B184" s="2" t="s">
        <v>10</v>
      </c>
      <c r="C184" s="4">
        <v>2102.2399999999998</v>
      </c>
      <c r="D184" s="2" t="s">
        <v>7</v>
      </c>
      <c r="E184" s="3" t="str">
        <f>HYPERLINK("https://springer.com/13039")</f>
        <v>https://springer.com/13039</v>
      </c>
      <c r="F184" s="2" t="s">
        <v>397</v>
      </c>
    </row>
    <row r="185" spans="1:6" ht="12.75" customHeight="1" x14ac:dyDescent="0.3">
      <c r="A185" s="2" t="s">
        <v>398</v>
      </c>
      <c r="B185" s="2" t="s">
        <v>6</v>
      </c>
      <c r="C185" s="4">
        <v>1605.74</v>
      </c>
      <c r="D185" s="2" t="s">
        <v>7</v>
      </c>
      <c r="E185" s="3" t="str">
        <f>HYPERLINK("https://springer.com/13040")</f>
        <v>https://springer.com/13040</v>
      </c>
      <c r="F185" s="2" t="s">
        <v>399</v>
      </c>
    </row>
    <row r="186" spans="1:6" ht="12.75" customHeight="1" x14ac:dyDescent="0.3">
      <c r="A186" s="2" t="s">
        <v>400</v>
      </c>
      <c r="B186" s="2" t="s">
        <v>10</v>
      </c>
      <c r="C186" s="4">
        <v>1890.78</v>
      </c>
      <c r="D186" s="2" t="s">
        <v>117</v>
      </c>
      <c r="E186" s="3" t="str">
        <f>HYPERLINK("https://springer.com/13041")</f>
        <v>https://springer.com/13041</v>
      </c>
      <c r="F186" s="2" t="s">
        <v>401</v>
      </c>
    </row>
    <row r="187" spans="1:6" ht="12.75" customHeight="1" x14ac:dyDescent="0.3">
      <c r="A187" s="2" t="s">
        <v>402</v>
      </c>
      <c r="B187" s="2" t="s">
        <v>19</v>
      </c>
      <c r="C187" s="4">
        <v>1776.76</v>
      </c>
      <c r="D187" s="2" t="s">
        <v>7</v>
      </c>
      <c r="E187" s="3" t="str">
        <f>HYPERLINK("https://springer.com/13044")</f>
        <v>https://springer.com/13044</v>
      </c>
      <c r="F187" s="2" t="s">
        <v>403</v>
      </c>
    </row>
    <row r="188" spans="1:6" ht="12.75" customHeight="1" x14ac:dyDescent="0.3">
      <c r="A188" s="2" t="s">
        <v>404</v>
      </c>
      <c r="B188" s="2" t="s">
        <v>19</v>
      </c>
      <c r="C188" s="4">
        <v>3011.96</v>
      </c>
      <c r="D188" s="2" t="s">
        <v>7</v>
      </c>
      <c r="E188" s="3" t="str">
        <f>HYPERLINK("https://springer.com/13045")</f>
        <v>https://springer.com/13045</v>
      </c>
      <c r="F188" s="2" t="s">
        <v>405</v>
      </c>
    </row>
    <row r="189" spans="1:6" ht="12.75" customHeight="1" x14ac:dyDescent="0.3">
      <c r="A189" s="2" t="s">
        <v>406</v>
      </c>
      <c r="B189" s="2" t="s">
        <v>10</v>
      </c>
      <c r="C189" s="4">
        <v>2476.67</v>
      </c>
      <c r="D189" s="2" t="s">
        <v>117</v>
      </c>
      <c r="E189" s="3" t="str">
        <f>HYPERLINK("https://springer.com/13046")</f>
        <v>https://springer.com/13046</v>
      </c>
      <c r="F189" s="2" t="s">
        <v>407</v>
      </c>
    </row>
    <row r="190" spans="1:6" ht="12.75" customHeight="1" x14ac:dyDescent="0.3">
      <c r="A190" s="2" t="s">
        <v>408</v>
      </c>
      <c r="B190" s="2" t="s">
        <v>19</v>
      </c>
      <c r="C190" s="4">
        <v>1938.28</v>
      </c>
      <c r="D190" s="2" t="s">
        <v>7</v>
      </c>
      <c r="E190" s="3" t="str">
        <f>HYPERLINK("https://springer.com/13048")</f>
        <v>https://springer.com/13048</v>
      </c>
      <c r="F190" s="2" t="s">
        <v>409</v>
      </c>
    </row>
    <row r="191" spans="1:6" ht="12.75" customHeight="1" x14ac:dyDescent="0.3">
      <c r="A191" s="2" t="s">
        <v>410</v>
      </c>
      <c r="B191" s="2" t="s">
        <v>19</v>
      </c>
      <c r="C191" s="4">
        <v>1730.52</v>
      </c>
      <c r="D191" s="2" t="s">
        <v>7</v>
      </c>
      <c r="E191" s="3" t="str">
        <f>HYPERLINK("https://springer.com/13049")</f>
        <v>https://springer.com/13049</v>
      </c>
      <c r="F191" s="2" t="s">
        <v>411</v>
      </c>
    </row>
    <row r="192" spans="1:6" ht="12.75" customHeight="1" x14ac:dyDescent="0.3">
      <c r="A192" s="2" t="s">
        <v>412</v>
      </c>
      <c r="B192" s="2" t="s">
        <v>19</v>
      </c>
      <c r="C192" s="4">
        <v>1587.68</v>
      </c>
      <c r="D192" s="2" t="s">
        <v>7</v>
      </c>
      <c r="E192" s="3" t="str">
        <f>HYPERLINK("https://springer.com/13052")</f>
        <v>https://springer.com/13052</v>
      </c>
      <c r="F192" s="2" t="s">
        <v>413</v>
      </c>
    </row>
    <row r="193" spans="1:6" ht="12.75" customHeight="1" x14ac:dyDescent="0.3">
      <c r="A193" s="2" t="s">
        <v>414</v>
      </c>
      <c r="B193" s="2" t="s">
        <v>10</v>
      </c>
      <c r="C193" s="4">
        <v>1791.08</v>
      </c>
      <c r="D193" s="2" t="s">
        <v>117</v>
      </c>
      <c r="E193" s="3" t="str">
        <f>HYPERLINK("https://springer.com/13053")</f>
        <v>https://springer.com/13053</v>
      </c>
      <c r="F193" s="2" t="s">
        <v>415</v>
      </c>
    </row>
    <row r="194" spans="1:6" ht="12.75" customHeight="1" x14ac:dyDescent="0.3">
      <c r="A194" s="2" t="s">
        <v>416</v>
      </c>
      <c r="B194" s="2" t="s">
        <v>19</v>
      </c>
      <c r="C194" s="4">
        <v>2546.38</v>
      </c>
      <c r="D194" s="2" t="s">
        <v>7</v>
      </c>
      <c r="E194" s="3" t="str">
        <f>HYPERLINK("https://springer.com/13054")</f>
        <v>https://springer.com/13054</v>
      </c>
      <c r="F194" s="2" t="s">
        <v>417</v>
      </c>
    </row>
    <row r="195" spans="1:6" ht="12.75" customHeight="1" x14ac:dyDescent="0.3">
      <c r="A195" s="2" t="s">
        <v>418</v>
      </c>
      <c r="B195" s="2" t="s">
        <v>10</v>
      </c>
      <c r="C195" s="4">
        <v>2561.25</v>
      </c>
      <c r="D195" s="2" t="s">
        <v>7</v>
      </c>
      <c r="E195" s="3" t="str">
        <f>HYPERLINK("https://springer.com/13058")</f>
        <v>https://springer.com/13058</v>
      </c>
      <c r="F195" s="2" t="s">
        <v>419</v>
      </c>
    </row>
    <row r="196" spans="1:6" ht="12.75" customHeight="1" x14ac:dyDescent="0.3">
      <c r="A196" s="2" t="s">
        <v>420</v>
      </c>
      <c r="B196" s="2" t="s">
        <v>6</v>
      </c>
      <c r="C196" s="4">
        <v>3552.12</v>
      </c>
      <c r="D196" s="2" t="s">
        <v>7</v>
      </c>
      <c r="E196" s="3" t="str">
        <f>HYPERLINK("https://springer.com/13059")</f>
        <v>https://springer.com/13059</v>
      </c>
      <c r="F196" s="2" t="s">
        <v>421</v>
      </c>
    </row>
    <row r="197" spans="1:6" ht="12.75" customHeight="1" x14ac:dyDescent="0.3">
      <c r="A197" s="2" t="s">
        <v>422</v>
      </c>
      <c r="B197" s="2" t="s">
        <v>6</v>
      </c>
      <c r="C197" s="4">
        <v>1657.99</v>
      </c>
      <c r="D197" s="2" t="s">
        <v>7</v>
      </c>
      <c r="E197" s="3" t="str">
        <f>HYPERLINK("https://springer.com/13062")</f>
        <v>https://springer.com/13062</v>
      </c>
      <c r="F197" s="2" t="s">
        <v>423</v>
      </c>
    </row>
    <row r="198" spans="1:6" ht="12.75" customHeight="1" x14ac:dyDescent="0.3">
      <c r="A198" s="2" t="s">
        <v>424</v>
      </c>
      <c r="B198" s="2" t="s">
        <v>19</v>
      </c>
      <c r="C198" s="4">
        <v>1676.37</v>
      </c>
      <c r="D198" s="2" t="s">
        <v>7</v>
      </c>
      <c r="E198" s="3" t="str">
        <f>HYPERLINK("https://springer.com/13063")</f>
        <v>https://springer.com/13063</v>
      </c>
      <c r="F198" s="2" t="s">
        <v>425</v>
      </c>
    </row>
    <row r="199" spans="1:6" ht="12.75" customHeight="1" x14ac:dyDescent="0.3">
      <c r="A199" s="2" t="s">
        <v>426</v>
      </c>
      <c r="B199" s="2" t="s">
        <v>25</v>
      </c>
      <c r="C199" s="4">
        <v>1700.76</v>
      </c>
      <c r="D199" s="2" t="s">
        <v>7</v>
      </c>
      <c r="E199" s="3" t="str">
        <f>HYPERLINK("https://springer.com/13065")</f>
        <v>https://springer.com/13065</v>
      </c>
      <c r="F199" s="2" t="s">
        <v>427</v>
      </c>
    </row>
    <row r="200" spans="1:6" ht="12.75" customHeight="1" x14ac:dyDescent="0.3">
      <c r="A200" s="2" t="s">
        <v>428</v>
      </c>
      <c r="B200" s="2" t="s">
        <v>25</v>
      </c>
      <c r="C200" s="4">
        <v>1962.48</v>
      </c>
      <c r="D200" s="2" t="s">
        <v>7</v>
      </c>
      <c r="E200" s="3" t="str">
        <f>HYPERLINK("https://springer.com/13068")</f>
        <v>https://springer.com/13068</v>
      </c>
      <c r="F200" s="2" t="s">
        <v>429</v>
      </c>
    </row>
    <row r="201" spans="1:6" ht="12.75" customHeight="1" x14ac:dyDescent="0.3">
      <c r="A201" s="2" t="s">
        <v>430</v>
      </c>
      <c r="B201" s="2" t="s">
        <v>10</v>
      </c>
      <c r="C201" s="4">
        <v>1890.78</v>
      </c>
      <c r="D201" s="2" t="s">
        <v>117</v>
      </c>
      <c r="E201" s="3" t="str">
        <f>HYPERLINK("https://springer.com/13071")</f>
        <v>https://springer.com/13071</v>
      </c>
      <c r="F201" s="2" t="s">
        <v>431</v>
      </c>
    </row>
    <row r="202" spans="1:6" ht="12.75" customHeight="1" x14ac:dyDescent="0.3">
      <c r="A202" s="2" t="s">
        <v>432</v>
      </c>
      <c r="B202" s="2" t="s">
        <v>6</v>
      </c>
      <c r="C202" s="4">
        <v>1942.46</v>
      </c>
      <c r="D202" s="2" t="s">
        <v>7</v>
      </c>
      <c r="E202" s="3" t="str">
        <f>HYPERLINK("https://springer.com/13072")</f>
        <v>https://springer.com/13072</v>
      </c>
      <c r="F202" s="2" t="s">
        <v>433</v>
      </c>
    </row>
    <row r="203" spans="1:6" ht="12.75" customHeight="1" x14ac:dyDescent="0.3">
      <c r="A203" s="2" t="s">
        <v>434</v>
      </c>
      <c r="B203" s="2" t="s">
        <v>10</v>
      </c>
      <c r="C203" s="4">
        <v>3247.95</v>
      </c>
      <c r="D203" s="2" t="s">
        <v>7</v>
      </c>
      <c r="E203" s="3" t="str">
        <f>HYPERLINK("https://springer.com/13073")</f>
        <v>https://springer.com/13073</v>
      </c>
      <c r="F203" s="2" t="s">
        <v>435</v>
      </c>
    </row>
    <row r="204" spans="1:6" ht="12.75" customHeight="1" x14ac:dyDescent="0.3">
      <c r="A204" s="2" t="s">
        <v>436</v>
      </c>
      <c r="B204" s="2" t="s">
        <v>19</v>
      </c>
      <c r="C204" s="4">
        <v>2175.8200000000002</v>
      </c>
      <c r="D204" s="2" t="s">
        <v>7</v>
      </c>
      <c r="E204" s="3" t="str">
        <f>HYPERLINK("https://springer.com/13075")</f>
        <v>https://springer.com/13075</v>
      </c>
      <c r="F204" s="2" t="s">
        <v>437</v>
      </c>
    </row>
    <row r="205" spans="1:6" ht="12.75" customHeight="1" x14ac:dyDescent="0.3">
      <c r="A205" s="2" t="s">
        <v>438</v>
      </c>
      <c r="B205" s="2" t="s">
        <v>19</v>
      </c>
      <c r="C205" s="4">
        <v>1676.37</v>
      </c>
      <c r="D205" s="2" t="s">
        <v>7</v>
      </c>
      <c r="E205" s="3" t="str">
        <f>HYPERLINK("https://springer.com/13089")</f>
        <v>https://springer.com/13089</v>
      </c>
      <c r="F205" s="2" t="s">
        <v>439</v>
      </c>
    </row>
    <row r="206" spans="1:6" ht="12.75" customHeight="1" x14ac:dyDescent="0.3">
      <c r="A206" s="2" t="s">
        <v>440</v>
      </c>
      <c r="B206" s="2" t="s">
        <v>19</v>
      </c>
      <c r="C206" s="4">
        <v>1890.78</v>
      </c>
      <c r="D206" s="2" t="s">
        <v>7</v>
      </c>
      <c r="E206" s="3" t="str">
        <f>HYPERLINK("https://springer.com/13098")</f>
        <v>https://springer.com/13098</v>
      </c>
      <c r="F206" s="2" t="s">
        <v>441</v>
      </c>
    </row>
    <row r="207" spans="1:6" ht="12.75" customHeight="1" x14ac:dyDescent="0.3">
      <c r="A207" s="2" t="s">
        <v>442</v>
      </c>
      <c r="B207" s="2" t="s">
        <v>19</v>
      </c>
      <c r="C207" s="4">
        <v>2010.44</v>
      </c>
      <c r="D207" s="2" t="s">
        <v>7</v>
      </c>
      <c r="E207" s="3" t="str">
        <f>HYPERLINK("https://springer.com/13099")</f>
        <v>https://springer.com/13099</v>
      </c>
      <c r="F207" s="2" t="s">
        <v>443</v>
      </c>
    </row>
    <row r="208" spans="1:6" ht="12.75" customHeight="1" x14ac:dyDescent="0.3">
      <c r="A208" s="2" t="s">
        <v>444</v>
      </c>
      <c r="B208" s="2" t="s">
        <v>10</v>
      </c>
      <c r="C208" s="4">
        <v>2010.44</v>
      </c>
      <c r="D208" s="2" t="s">
        <v>7</v>
      </c>
      <c r="E208" s="3" t="str">
        <f>HYPERLINK("https://springer.com/13100")</f>
        <v>https://springer.com/13100</v>
      </c>
      <c r="F208" s="2" t="s">
        <v>445</v>
      </c>
    </row>
    <row r="209" spans="1:6" ht="12.75" customHeight="1" x14ac:dyDescent="0.3">
      <c r="A209" s="2" t="s">
        <v>446</v>
      </c>
      <c r="B209" s="2" t="s">
        <v>19</v>
      </c>
      <c r="C209" s="4">
        <v>1605.74</v>
      </c>
      <c r="D209" s="2" t="s">
        <v>7</v>
      </c>
      <c r="E209" s="3" t="str">
        <f>HYPERLINK("https://springer.com/13102")</f>
        <v>https://springer.com/13102</v>
      </c>
      <c r="F209" s="2" t="s">
        <v>447</v>
      </c>
    </row>
    <row r="210" spans="1:6" ht="12.75" customHeight="1" x14ac:dyDescent="0.3">
      <c r="A210" s="2" t="s">
        <v>448</v>
      </c>
      <c r="B210" s="2" t="s">
        <v>10</v>
      </c>
      <c r="C210" s="4">
        <v>1112</v>
      </c>
      <c r="D210" s="2" t="s">
        <v>7</v>
      </c>
      <c r="E210" s="3" t="str">
        <f>HYPERLINK("https://springer.com/13104")</f>
        <v>https://springer.com/13104</v>
      </c>
      <c r="F210" s="2" t="s">
        <v>449</v>
      </c>
    </row>
    <row r="211" spans="1:6" ht="12.75" customHeight="1" x14ac:dyDescent="0.3">
      <c r="A211" s="2" t="s">
        <v>450</v>
      </c>
      <c r="B211" s="2" t="s">
        <v>10</v>
      </c>
      <c r="C211" s="4">
        <v>2285.85</v>
      </c>
      <c r="D211" s="2" t="s">
        <v>7</v>
      </c>
      <c r="E211" s="3" t="str">
        <f>HYPERLINK("https://springer.com/13148")</f>
        <v>https://springer.com/13148</v>
      </c>
      <c r="F211" s="2" t="s">
        <v>451</v>
      </c>
    </row>
    <row r="212" spans="1:6" ht="12.75" customHeight="1" x14ac:dyDescent="0.3">
      <c r="A212" s="2" t="s">
        <v>452</v>
      </c>
      <c r="B212" s="2" t="s">
        <v>10</v>
      </c>
      <c r="C212" s="4">
        <v>2441.85</v>
      </c>
      <c r="D212" s="2" t="s">
        <v>7</v>
      </c>
      <c r="E212" s="3" t="str">
        <f>HYPERLINK("https://springer.com/13195")</f>
        <v>https://springer.com/13195</v>
      </c>
      <c r="F212" s="2" t="s">
        <v>453</v>
      </c>
    </row>
    <row r="213" spans="1:6" ht="12.75" customHeight="1" x14ac:dyDescent="0.3">
      <c r="A213" s="2" t="s">
        <v>454</v>
      </c>
      <c r="B213" s="2" t="s">
        <v>12</v>
      </c>
      <c r="C213" s="4">
        <v>1392.54</v>
      </c>
      <c r="D213" s="2" t="s">
        <v>7</v>
      </c>
      <c r="E213" s="3" t="str">
        <f>HYPERLINK("https://springer.com/13201")</f>
        <v>https://springer.com/13201</v>
      </c>
      <c r="F213" s="2" t="s">
        <v>455</v>
      </c>
    </row>
    <row r="214" spans="1:6" ht="12.75" customHeight="1" x14ac:dyDescent="0.3">
      <c r="A214" s="2" t="s">
        <v>456</v>
      </c>
      <c r="B214" s="2" t="s">
        <v>12</v>
      </c>
      <c r="C214" s="4">
        <v>1392.54</v>
      </c>
      <c r="D214" s="2" t="s">
        <v>7</v>
      </c>
      <c r="E214" s="3" t="str">
        <f>HYPERLINK("https://springer.com/13202")</f>
        <v>https://springer.com/13202</v>
      </c>
      <c r="F214" s="2" t="s">
        <v>457</v>
      </c>
    </row>
    <row r="215" spans="1:6" ht="12.75" customHeight="1" x14ac:dyDescent="0.3">
      <c r="A215" s="2" t="s">
        <v>458</v>
      </c>
      <c r="B215" s="2" t="s">
        <v>6</v>
      </c>
      <c r="C215" s="4">
        <v>1491.72</v>
      </c>
      <c r="D215" s="2" t="s">
        <v>7</v>
      </c>
      <c r="E215" s="3" t="str">
        <f>HYPERLINK("https://springer.com/13213")</f>
        <v>https://springer.com/13213</v>
      </c>
      <c r="F215" s="2" t="s">
        <v>459</v>
      </c>
    </row>
    <row r="216" spans="1:6" ht="12.75" customHeight="1" x14ac:dyDescent="0.3">
      <c r="A216" s="2" t="s">
        <v>460</v>
      </c>
      <c r="B216" s="2" t="s">
        <v>19</v>
      </c>
      <c r="C216" s="4">
        <v>1890.78</v>
      </c>
      <c r="D216" s="2" t="s">
        <v>117</v>
      </c>
      <c r="E216" s="3" t="str">
        <f>HYPERLINK("https://springer.com/13223")</f>
        <v>https://springer.com/13223</v>
      </c>
      <c r="F216" s="2" t="s">
        <v>461</v>
      </c>
    </row>
    <row r="217" spans="1:6" ht="12.75" customHeight="1" x14ac:dyDescent="0.3">
      <c r="A217" s="2" t="s">
        <v>462</v>
      </c>
      <c r="B217" s="2" t="s">
        <v>6</v>
      </c>
      <c r="C217" s="4">
        <v>1676.37</v>
      </c>
      <c r="D217" s="2" t="s">
        <v>7</v>
      </c>
      <c r="E217" s="3" t="str">
        <f>HYPERLINK("https://springer.com/13227")</f>
        <v>https://springer.com/13227</v>
      </c>
      <c r="F217" s="2" t="s">
        <v>463</v>
      </c>
    </row>
    <row r="218" spans="1:6" ht="12.75" customHeight="1" x14ac:dyDescent="0.3">
      <c r="A218" s="2" t="s">
        <v>464</v>
      </c>
      <c r="B218" s="2" t="s">
        <v>19</v>
      </c>
      <c r="C218" s="4">
        <v>2385.9499999999998</v>
      </c>
      <c r="D218" s="2" t="s">
        <v>7</v>
      </c>
      <c r="E218" s="3" t="str">
        <f>HYPERLINK("https://springer.com/13229")</f>
        <v>https://springer.com/13229</v>
      </c>
      <c r="F218" s="2" t="s">
        <v>465</v>
      </c>
    </row>
    <row r="219" spans="1:6" ht="12.75" customHeight="1" x14ac:dyDescent="0.3">
      <c r="A219" s="2" t="s">
        <v>466</v>
      </c>
      <c r="B219" s="2" t="s">
        <v>19</v>
      </c>
      <c r="C219" s="4">
        <v>1657.99</v>
      </c>
      <c r="D219" s="2" t="s">
        <v>7</v>
      </c>
      <c r="E219" s="3" t="str">
        <f>HYPERLINK("https://springer.com/13244")</f>
        <v>https://springer.com/13244</v>
      </c>
      <c r="F219" s="2" t="s">
        <v>467</v>
      </c>
    </row>
    <row r="220" spans="1:6" ht="12.75" customHeight="1" x14ac:dyDescent="0.3">
      <c r="A220" s="2" t="s">
        <v>468</v>
      </c>
      <c r="B220" s="2" t="s">
        <v>19</v>
      </c>
      <c r="C220" s="4">
        <v>1776.76</v>
      </c>
      <c r="D220" s="2" t="s">
        <v>7</v>
      </c>
      <c r="E220" s="3" t="str">
        <f>HYPERLINK("https://springer.com/13256")</f>
        <v>https://springer.com/13256</v>
      </c>
      <c r="F220" s="2" t="s">
        <v>469</v>
      </c>
    </row>
    <row r="221" spans="1:6" ht="12.75" customHeight="1" x14ac:dyDescent="0.3">
      <c r="A221" s="2" t="s">
        <v>470</v>
      </c>
      <c r="B221" s="2" t="s">
        <v>17</v>
      </c>
      <c r="C221" s="4">
        <v>2072</v>
      </c>
      <c r="D221" s="2" t="s">
        <v>7</v>
      </c>
      <c r="E221" s="3" t="str">
        <f>HYPERLINK("https://springer.com/13278")</f>
        <v>https://springer.com/13278</v>
      </c>
      <c r="F221" s="2" t="s">
        <v>471</v>
      </c>
    </row>
    <row r="222" spans="1:6" ht="12.75" customHeight="1" x14ac:dyDescent="0.3">
      <c r="A222" s="2" t="s">
        <v>472</v>
      </c>
      <c r="B222" s="2" t="s">
        <v>6</v>
      </c>
      <c r="C222" s="4">
        <v>1918.65</v>
      </c>
      <c r="D222" s="2" t="s">
        <v>7</v>
      </c>
      <c r="E222" s="3" t="str">
        <f>HYPERLINK("https://springer.com/13287")</f>
        <v>https://springer.com/13287</v>
      </c>
      <c r="F222" s="2" t="s">
        <v>473</v>
      </c>
    </row>
    <row r="223" spans="1:6" ht="12.75" customHeight="1" x14ac:dyDescent="0.3">
      <c r="A223" s="2" t="s">
        <v>474</v>
      </c>
      <c r="B223" s="2" t="s">
        <v>10</v>
      </c>
      <c r="C223" s="4">
        <v>2010.44</v>
      </c>
      <c r="D223" s="2" t="s">
        <v>117</v>
      </c>
      <c r="E223" s="3" t="str">
        <f>HYPERLINK("https://springer.com/13293")</f>
        <v>https://springer.com/13293</v>
      </c>
      <c r="F223" s="2" t="s">
        <v>475</v>
      </c>
    </row>
    <row r="224" spans="1:6" ht="12.75" customHeight="1" x14ac:dyDescent="0.3">
      <c r="A224" s="2" t="s">
        <v>476</v>
      </c>
      <c r="B224" s="2" t="s">
        <v>25</v>
      </c>
      <c r="C224" s="4">
        <v>1533.99</v>
      </c>
      <c r="D224" s="2" t="s">
        <v>7</v>
      </c>
      <c r="E224" s="3" t="str">
        <f>HYPERLINK("https://springer.com/13321")</f>
        <v>https://springer.com/13321</v>
      </c>
      <c r="F224" s="2" t="s">
        <v>477</v>
      </c>
    </row>
    <row r="225" spans="1:6" ht="12.75" customHeight="1" x14ac:dyDescent="0.3">
      <c r="A225" s="2" t="s">
        <v>478</v>
      </c>
      <c r="B225" s="2" t="s">
        <v>8</v>
      </c>
      <c r="C225" s="4">
        <v>1007.14</v>
      </c>
      <c r="D225" s="2" t="s">
        <v>7</v>
      </c>
      <c r="E225" s="3" t="str">
        <f>HYPERLINK("https://springer.com/13326")</f>
        <v>https://springer.com/13326</v>
      </c>
      <c r="F225" s="2" t="s">
        <v>479</v>
      </c>
    </row>
    <row r="226" spans="1:6" ht="12.75" customHeight="1" x14ac:dyDescent="0.3">
      <c r="A226" s="2" t="s">
        <v>480</v>
      </c>
      <c r="B226" s="2" t="s">
        <v>12</v>
      </c>
      <c r="C226" s="4">
        <v>832</v>
      </c>
      <c r="D226" s="2" t="s">
        <v>7</v>
      </c>
      <c r="E226" s="3" t="str">
        <f>HYPERLINK("https://springer.com/13358")</f>
        <v>https://springer.com/13358</v>
      </c>
      <c r="F226" s="2" t="s">
        <v>481</v>
      </c>
    </row>
    <row r="227" spans="1:6" ht="12.75" customHeight="1" x14ac:dyDescent="0.3">
      <c r="A227" s="2" t="s">
        <v>482</v>
      </c>
      <c r="B227" s="2" t="s">
        <v>8</v>
      </c>
      <c r="C227" s="4">
        <v>1007.14</v>
      </c>
      <c r="D227" s="2" t="s">
        <v>7</v>
      </c>
      <c r="E227" s="3" t="str">
        <f>HYPERLINK("https://springer.com/13362")</f>
        <v>https://springer.com/13362</v>
      </c>
      <c r="F227" s="2" t="s">
        <v>483</v>
      </c>
    </row>
    <row r="228" spans="1:6" ht="12.75" customHeight="1" x14ac:dyDescent="0.3">
      <c r="A228" s="2" t="s">
        <v>484</v>
      </c>
      <c r="B228" s="2" t="s">
        <v>6</v>
      </c>
      <c r="C228" s="4">
        <v>1853.77</v>
      </c>
      <c r="D228" s="2" t="s">
        <v>7</v>
      </c>
      <c r="E228" s="3" t="str">
        <f>HYPERLINK("https://springer.com/13395")</f>
        <v>https://springer.com/13395</v>
      </c>
      <c r="F228" s="2" t="s">
        <v>485</v>
      </c>
    </row>
    <row r="229" spans="1:6" ht="12.75" customHeight="1" x14ac:dyDescent="0.3">
      <c r="A229" s="2" t="s">
        <v>486</v>
      </c>
      <c r="B229" s="2" t="s">
        <v>10</v>
      </c>
      <c r="C229" s="4">
        <v>2712</v>
      </c>
      <c r="D229" s="2" t="s">
        <v>7</v>
      </c>
      <c r="E229" s="3" t="str">
        <f>HYPERLINK("https://springer.com/13402")</f>
        <v>https://springer.com/13402</v>
      </c>
      <c r="F229" s="2" t="s">
        <v>487</v>
      </c>
    </row>
    <row r="230" spans="1:6" ht="12.75" customHeight="1" x14ac:dyDescent="0.3">
      <c r="A230" s="2" t="s">
        <v>488</v>
      </c>
      <c r="B230" s="2" t="s">
        <v>19</v>
      </c>
      <c r="C230" s="4">
        <v>2031.16</v>
      </c>
      <c r="D230" s="2" t="s">
        <v>7</v>
      </c>
      <c r="E230" s="3" t="str">
        <f>HYPERLINK("https://springer.com/13550")</f>
        <v>https://springer.com/13550</v>
      </c>
      <c r="F230" s="2" t="s">
        <v>489</v>
      </c>
    </row>
    <row r="231" spans="1:6" ht="12.75" customHeight="1" x14ac:dyDescent="0.3">
      <c r="A231" s="2" t="s">
        <v>490</v>
      </c>
      <c r="B231" s="2" t="s">
        <v>19</v>
      </c>
      <c r="C231" s="4">
        <v>1776.76</v>
      </c>
      <c r="D231" s="2" t="s">
        <v>7</v>
      </c>
      <c r="E231" s="3" t="str">
        <f>HYPERLINK("https://springer.com/13561")</f>
        <v>https://springer.com/13561</v>
      </c>
      <c r="F231" s="2" t="s">
        <v>491</v>
      </c>
    </row>
    <row r="232" spans="1:6" ht="12.75" customHeight="1" x14ac:dyDescent="0.3">
      <c r="A232" s="2" t="s">
        <v>492</v>
      </c>
      <c r="B232" s="2" t="s">
        <v>19</v>
      </c>
      <c r="C232" s="4">
        <v>1330.44</v>
      </c>
      <c r="D232" s="2" t="s">
        <v>117</v>
      </c>
      <c r="E232" s="3" t="str">
        <f>HYPERLINK("https://springer.com/13567")</f>
        <v>https://springer.com/13567</v>
      </c>
      <c r="F232" s="2" t="s">
        <v>493</v>
      </c>
    </row>
    <row r="233" spans="1:6" ht="12.75" customHeight="1" x14ac:dyDescent="0.3">
      <c r="A233" s="2" t="s">
        <v>494</v>
      </c>
      <c r="B233" s="2" t="s">
        <v>6</v>
      </c>
      <c r="C233" s="4">
        <v>1776.76</v>
      </c>
      <c r="D233" s="2" t="s">
        <v>7</v>
      </c>
      <c r="E233" s="3" t="str">
        <f>HYPERLINK("https://springer.com/13568")</f>
        <v>https://springer.com/13568</v>
      </c>
      <c r="F233" s="2" t="s">
        <v>495</v>
      </c>
    </row>
    <row r="234" spans="1:6" ht="12.75" customHeight="1" x14ac:dyDescent="0.3">
      <c r="A234" s="2" t="s">
        <v>496</v>
      </c>
      <c r="B234" s="2" t="s">
        <v>6</v>
      </c>
      <c r="C234" s="4">
        <v>1657.99</v>
      </c>
      <c r="D234" s="2" t="s">
        <v>7</v>
      </c>
      <c r="E234" s="3" t="str">
        <f>HYPERLINK("https://springer.com/13578")</f>
        <v>https://springer.com/13578</v>
      </c>
      <c r="F234" s="2" t="s">
        <v>497</v>
      </c>
    </row>
    <row r="235" spans="1:6" ht="12.75" customHeight="1" x14ac:dyDescent="0.3">
      <c r="A235" s="2" t="s">
        <v>498</v>
      </c>
      <c r="B235" s="2" t="s">
        <v>6</v>
      </c>
      <c r="C235" s="4">
        <v>1498.68</v>
      </c>
      <c r="D235" s="2" t="s">
        <v>7</v>
      </c>
      <c r="E235" s="3" t="str">
        <f>HYPERLINK("https://springer.com/13595")</f>
        <v>https://springer.com/13595</v>
      </c>
      <c r="F235" s="2" t="s">
        <v>499</v>
      </c>
    </row>
    <row r="236" spans="1:6" ht="12.75" customHeight="1" x14ac:dyDescent="0.3">
      <c r="A236" s="2" t="s">
        <v>500</v>
      </c>
      <c r="B236" s="2" t="s">
        <v>19</v>
      </c>
      <c r="C236" s="4">
        <v>2175.8200000000002</v>
      </c>
      <c r="D236" s="2" t="s">
        <v>7</v>
      </c>
      <c r="E236" s="3" t="str">
        <f>HYPERLINK("https://springer.com/13613")</f>
        <v>https://springer.com/13613</v>
      </c>
      <c r="F236" s="2" t="s">
        <v>501</v>
      </c>
    </row>
    <row r="237" spans="1:6" ht="12.75" customHeight="1" x14ac:dyDescent="0.3">
      <c r="A237" s="2" t="s">
        <v>502</v>
      </c>
      <c r="B237" s="2" t="s">
        <v>12</v>
      </c>
      <c r="C237" s="4">
        <v>1121.1600000000001</v>
      </c>
      <c r="D237" s="2" t="s">
        <v>7</v>
      </c>
      <c r="E237" s="3" t="str">
        <f>HYPERLINK("https://springer.com/13617")</f>
        <v>https://springer.com/13617</v>
      </c>
      <c r="F237" s="2" t="s">
        <v>503</v>
      </c>
    </row>
    <row r="238" spans="1:6" ht="12.75" customHeight="1" x14ac:dyDescent="0.3">
      <c r="A238" s="2" t="s">
        <v>504</v>
      </c>
      <c r="B238" s="2" t="s">
        <v>19</v>
      </c>
      <c r="C238" s="4">
        <v>1700.76</v>
      </c>
      <c r="D238" s="2" t="s">
        <v>117</v>
      </c>
      <c r="E238" s="3" t="str">
        <f>HYPERLINK("https://springer.com/13620")</f>
        <v>https://springer.com/13620</v>
      </c>
      <c r="F238" s="2" t="s">
        <v>505</v>
      </c>
    </row>
    <row r="239" spans="1:6" ht="12.75" customHeight="1" x14ac:dyDescent="0.3">
      <c r="A239" s="2" t="s">
        <v>506</v>
      </c>
      <c r="B239" s="2" t="s">
        <v>16</v>
      </c>
      <c r="C239" s="4">
        <v>1161.2</v>
      </c>
      <c r="D239" s="2" t="s">
        <v>7</v>
      </c>
      <c r="E239" s="3" t="str">
        <f>HYPERLINK("https://springer.com/13634")</f>
        <v>https://springer.com/13634</v>
      </c>
      <c r="F239" s="2" t="s">
        <v>507</v>
      </c>
    </row>
    <row r="240" spans="1:6" ht="12.75" customHeight="1" x14ac:dyDescent="0.3">
      <c r="A240" s="2" t="s">
        <v>508</v>
      </c>
      <c r="B240" s="2" t="s">
        <v>16</v>
      </c>
      <c r="C240" s="4">
        <v>672</v>
      </c>
      <c r="D240" s="2" t="s">
        <v>7</v>
      </c>
      <c r="E240" s="3" t="str">
        <f>HYPERLINK("https://springer.com/13635")</f>
        <v>https://springer.com/13635</v>
      </c>
      <c r="F240" s="2" t="s">
        <v>509</v>
      </c>
    </row>
    <row r="241" spans="1:6" ht="12.75" customHeight="1" x14ac:dyDescent="0.3">
      <c r="A241" s="2" t="s">
        <v>510</v>
      </c>
      <c r="B241" s="2" t="s">
        <v>16</v>
      </c>
      <c r="C241" s="4">
        <v>1139.77</v>
      </c>
      <c r="D241" s="2" t="s">
        <v>7</v>
      </c>
      <c r="E241" s="3" t="str">
        <f>HYPERLINK("https://springer.com/13636")</f>
        <v>https://springer.com/13636</v>
      </c>
      <c r="F241" s="2" t="s">
        <v>511</v>
      </c>
    </row>
    <row r="242" spans="1:6" ht="12.75" customHeight="1" x14ac:dyDescent="0.3">
      <c r="A242" s="2" t="s">
        <v>512</v>
      </c>
      <c r="B242" s="2" t="s">
        <v>16</v>
      </c>
      <c r="C242" s="4">
        <v>1161.2</v>
      </c>
      <c r="D242" s="2" t="s">
        <v>7</v>
      </c>
      <c r="E242" s="3" t="str">
        <f>HYPERLINK("https://springer.com/13638")</f>
        <v>https://springer.com/13638</v>
      </c>
      <c r="F242" s="2" t="s">
        <v>513</v>
      </c>
    </row>
    <row r="243" spans="1:6" ht="12.75" customHeight="1" x14ac:dyDescent="0.3">
      <c r="A243" s="2" t="s">
        <v>514</v>
      </c>
      <c r="B243" s="2" t="s">
        <v>16</v>
      </c>
      <c r="C243" s="4">
        <v>1161.2</v>
      </c>
      <c r="D243" s="2" t="s">
        <v>7</v>
      </c>
      <c r="E243" s="3" t="str">
        <f>HYPERLINK("https://springer.com/13640")</f>
        <v>https://springer.com/13640</v>
      </c>
      <c r="F243" s="2" t="s">
        <v>515</v>
      </c>
    </row>
    <row r="244" spans="1:6" ht="12.75" customHeight="1" x14ac:dyDescent="0.3">
      <c r="A244" s="2" t="s">
        <v>516</v>
      </c>
      <c r="B244" s="2" t="s">
        <v>19</v>
      </c>
      <c r="C244" s="4">
        <v>1700.76</v>
      </c>
      <c r="D244" s="2" t="s">
        <v>7</v>
      </c>
      <c r="E244" s="3" t="str">
        <f>HYPERLINK("https://springer.com/13643")</f>
        <v>https://springer.com/13643</v>
      </c>
      <c r="F244" s="2" t="s">
        <v>517</v>
      </c>
    </row>
    <row r="245" spans="1:6" ht="12.75" customHeight="1" x14ac:dyDescent="0.3">
      <c r="A245" s="2" t="s">
        <v>518</v>
      </c>
      <c r="B245" s="2" t="s">
        <v>8</v>
      </c>
      <c r="C245" s="4">
        <v>1184.23</v>
      </c>
      <c r="D245" s="2" t="s">
        <v>7</v>
      </c>
      <c r="E245" s="3" t="str">
        <f>HYPERLINK("https://springer.com/13660")</f>
        <v>https://springer.com/13660</v>
      </c>
      <c r="F245" s="2" t="s">
        <v>519</v>
      </c>
    </row>
    <row r="246" spans="1:6" ht="12.75" customHeight="1" x14ac:dyDescent="0.3">
      <c r="A246" s="2" t="s">
        <v>520</v>
      </c>
      <c r="B246" s="2" t="s">
        <v>8</v>
      </c>
      <c r="C246" s="4">
        <v>1144.19</v>
      </c>
      <c r="D246" s="2" t="s">
        <v>7</v>
      </c>
      <c r="E246" s="3" t="str">
        <f>HYPERLINK("https://springer.com/13661")</f>
        <v>https://springer.com/13661</v>
      </c>
      <c r="F246" s="2" t="s">
        <v>521</v>
      </c>
    </row>
    <row r="247" spans="1:6" ht="12.75" customHeight="1" x14ac:dyDescent="0.3">
      <c r="A247" s="2" t="s">
        <v>522</v>
      </c>
      <c r="B247" s="2" t="s">
        <v>8</v>
      </c>
      <c r="C247" s="4">
        <v>1184.23</v>
      </c>
      <c r="D247" s="2" t="s">
        <v>7</v>
      </c>
      <c r="E247" s="3" t="str">
        <f>HYPERLINK("https://springer.com/13662")</f>
        <v>https://springer.com/13662</v>
      </c>
      <c r="F247" s="2" t="s">
        <v>523</v>
      </c>
    </row>
    <row r="248" spans="1:6" ht="12.75" customHeight="1" x14ac:dyDescent="0.3">
      <c r="A248" s="2" t="s">
        <v>524</v>
      </c>
      <c r="B248" s="2" t="s">
        <v>8</v>
      </c>
      <c r="C248" s="4">
        <v>940.63</v>
      </c>
      <c r="D248" s="2" t="s">
        <v>7</v>
      </c>
      <c r="E248" s="3" t="str">
        <f>HYPERLINK("https://springer.com/13663")</f>
        <v>https://springer.com/13663</v>
      </c>
      <c r="F248" s="2" t="s">
        <v>525</v>
      </c>
    </row>
    <row r="249" spans="1:6" ht="12.75" customHeight="1" x14ac:dyDescent="0.3">
      <c r="A249" s="2" t="s">
        <v>526</v>
      </c>
      <c r="B249" s="2" t="s">
        <v>17</v>
      </c>
      <c r="C249" s="4">
        <v>817.12</v>
      </c>
      <c r="D249" s="2" t="s">
        <v>7</v>
      </c>
      <c r="E249" s="3" t="str">
        <f>HYPERLINK("https://springer.com/13677")</f>
        <v>https://springer.com/13677</v>
      </c>
      <c r="F249" s="2" t="s">
        <v>527</v>
      </c>
    </row>
    <row r="250" spans="1:6" ht="12.75" customHeight="1" x14ac:dyDescent="0.3">
      <c r="A250" s="2" t="s">
        <v>528</v>
      </c>
      <c r="B250" s="2" t="s">
        <v>17</v>
      </c>
      <c r="C250" s="4">
        <v>1045.1400000000001</v>
      </c>
      <c r="D250" s="2" t="s">
        <v>7</v>
      </c>
      <c r="E250" s="3" t="str">
        <f>HYPERLINK("https://springer.com/13688")</f>
        <v>https://springer.com/13688</v>
      </c>
      <c r="F250" s="2" t="s">
        <v>529</v>
      </c>
    </row>
    <row r="251" spans="1:6" ht="12.75" customHeight="1" x14ac:dyDescent="0.3">
      <c r="A251" s="2" t="s">
        <v>530</v>
      </c>
      <c r="B251" s="2" t="s">
        <v>19</v>
      </c>
      <c r="C251" s="4">
        <v>1776.76</v>
      </c>
      <c r="D251" s="2" t="s">
        <v>7</v>
      </c>
      <c r="E251" s="3" t="str">
        <f>HYPERLINK("https://springer.com/13690")</f>
        <v>https://springer.com/13690</v>
      </c>
      <c r="F251" s="2" t="s">
        <v>531</v>
      </c>
    </row>
    <row r="252" spans="1:6" ht="12.75" customHeight="1" x14ac:dyDescent="0.3">
      <c r="A252" s="2" t="s">
        <v>532</v>
      </c>
      <c r="B252" s="2" t="s">
        <v>92</v>
      </c>
      <c r="C252" s="4">
        <v>1121.1600000000001</v>
      </c>
      <c r="D252" s="2" t="s">
        <v>7</v>
      </c>
      <c r="E252" s="3" t="str">
        <f>HYPERLINK("https://springer.com/13705")</f>
        <v>https://springer.com/13705</v>
      </c>
      <c r="F252" s="2" t="s">
        <v>533</v>
      </c>
    </row>
    <row r="253" spans="1:6" ht="12.75" customHeight="1" x14ac:dyDescent="0.3">
      <c r="A253" s="2" t="s">
        <v>534</v>
      </c>
      <c r="B253" s="2" t="s">
        <v>21</v>
      </c>
      <c r="C253" s="4">
        <v>1082.0999999999999</v>
      </c>
      <c r="D253" s="2" t="s">
        <v>7</v>
      </c>
      <c r="E253" s="3" t="str">
        <f>HYPERLINK("https://springer.com/13717")</f>
        <v>https://springer.com/13717</v>
      </c>
      <c r="F253" s="2" t="s">
        <v>535</v>
      </c>
    </row>
    <row r="254" spans="1:6" ht="12.75" customHeight="1" x14ac:dyDescent="0.3">
      <c r="A254" s="2" t="s">
        <v>536</v>
      </c>
      <c r="B254" s="2" t="s">
        <v>19</v>
      </c>
      <c r="C254" s="4">
        <v>1776.76</v>
      </c>
      <c r="D254" s="2" t="s">
        <v>117</v>
      </c>
      <c r="E254" s="3" t="str">
        <f>HYPERLINK("https://springer.com/13722")</f>
        <v>https://springer.com/13722</v>
      </c>
      <c r="F254" s="2" t="s">
        <v>537</v>
      </c>
    </row>
    <row r="255" spans="1:6" ht="12.75" customHeight="1" x14ac:dyDescent="0.3">
      <c r="A255" s="2" t="s">
        <v>538</v>
      </c>
      <c r="B255" s="2" t="s">
        <v>24</v>
      </c>
      <c r="C255" s="4">
        <v>840.86</v>
      </c>
      <c r="D255" s="2" t="s">
        <v>7</v>
      </c>
      <c r="E255" s="3" t="str">
        <f>HYPERLINK("https://springer.com/13731")</f>
        <v>https://springer.com/13731</v>
      </c>
      <c r="F255" s="2" t="s">
        <v>539</v>
      </c>
    </row>
    <row r="256" spans="1:6" ht="12.75" customHeight="1" x14ac:dyDescent="0.3">
      <c r="A256" s="2" t="s">
        <v>540</v>
      </c>
      <c r="B256" s="2" t="s">
        <v>19</v>
      </c>
      <c r="C256" s="4">
        <v>1962.48</v>
      </c>
      <c r="D256" s="2" t="s">
        <v>7</v>
      </c>
      <c r="E256" s="3" t="str">
        <f>HYPERLINK("https://springer.com/13741")</f>
        <v>https://springer.com/13741</v>
      </c>
      <c r="F256" s="2" t="s">
        <v>541</v>
      </c>
    </row>
    <row r="257" spans="1:6" ht="12.75" customHeight="1" x14ac:dyDescent="0.3">
      <c r="A257" s="2" t="s">
        <v>542</v>
      </c>
      <c r="B257" s="2" t="s">
        <v>21</v>
      </c>
      <c r="C257" s="4">
        <v>1605.74</v>
      </c>
      <c r="D257" s="2" t="s">
        <v>117</v>
      </c>
      <c r="E257" s="3" t="str">
        <f>HYPERLINK("https://springer.com/13750")</f>
        <v>https://springer.com/13750</v>
      </c>
      <c r="F257" s="2" t="s">
        <v>543</v>
      </c>
    </row>
    <row r="258" spans="1:6" ht="12.75" customHeight="1" x14ac:dyDescent="0.3">
      <c r="A258" s="2" t="s">
        <v>544</v>
      </c>
      <c r="B258" s="2" t="s">
        <v>10</v>
      </c>
      <c r="C258" s="4">
        <v>2102.2399999999998</v>
      </c>
      <c r="D258" s="2" t="s">
        <v>7</v>
      </c>
      <c r="E258" s="3" t="str">
        <f>HYPERLINK("https://springer.com/13756")</f>
        <v>https://springer.com/13756</v>
      </c>
      <c r="F258" s="2" t="s">
        <v>545</v>
      </c>
    </row>
    <row r="259" spans="1:6" ht="12.75" customHeight="1" x14ac:dyDescent="0.3">
      <c r="A259" s="2" t="s">
        <v>546</v>
      </c>
      <c r="B259" s="2" t="s">
        <v>25</v>
      </c>
      <c r="C259" s="4">
        <v>688.49</v>
      </c>
      <c r="D259" s="2" t="s">
        <v>7</v>
      </c>
      <c r="E259" s="3" t="str">
        <f>HYPERLINK("https://springer.com/13765")</f>
        <v>https://springer.com/13765</v>
      </c>
      <c r="F259" s="2" t="s">
        <v>547</v>
      </c>
    </row>
    <row r="260" spans="1:6" ht="12.75" customHeight="1" x14ac:dyDescent="0.3">
      <c r="A260" s="2" t="s">
        <v>548</v>
      </c>
      <c r="B260" s="2" t="s">
        <v>19</v>
      </c>
      <c r="C260" s="4">
        <v>1890.78</v>
      </c>
      <c r="D260" s="2" t="s">
        <v>7</v>
      </c>
      <c r="E260" s="3" t="str">
        <f>HYPERLINK("https://springer.com/40001")</f>
        <v>https://springer.com/40001</v>
      </c>
      <c r="F260" s="2" t="s">
        <v>549</v>
      </c>
    </row>
    <row r="261" spans="1:6" ht="12.75" customHeight="1" x14ac:dyDescent="0.3">
      <c r="A261" s="2" t="s">
        <v>550</v>
      </c>
      <c r="B261" s="2" t="s">
        <v>22</v>
      </c>
      <c r="C261" s="4">
        <v>1062.6400000000001</v>
      </c>
      <c r="D261" s="2" t="s">
        <v>7</v>
      </c>
      <c r="E261" s="3" t="str">
        <f>HYPERLINK("https://springer.com/40008")</f>
        <v>https://springer.com/40008</v>
      </c>
      <c r="F261" s="2" t="s">
        <v>551</v>
      </c>
    </row>
    <row r="262" spans="1:6" ht="12.75" customHeight="1" x14ac:dyDescent="0.3">
      <c r="A262" s="2" t="s">
        <v>553</v>
      </c>
      <c r="B262" s="2" t="s">
        <v>10</v>
      </c>
      <c r="C262" s="4">
        <v>1938.28</v>
      </c>
      <c r="D262" s="2" t="s">
        <v>117</v>
      </c>
      <c r="E262" s="3" t="str">
        <f>HYPERLINK("https://springer.com/40035")</f>
        <v>https://springer.com/40035</v>
      </c>
      <c r="F262" s="2" t="s">
        <v>554</v>
      </c>
    </row>
    <row r="263" spans="1:6" ht="12.75" customHeight="1" x14ac:dyDescent="0.3">
      <c r="A263" s="2" t="s">
        <v>555</v>
      </c>
      <c r="B263" s="2" t="s">
        <v>6</v>
      </c>
      <c r="C263" s="4">
        <v>1320.68</v>
      </c>
      <c r="D263" s="2" t="s">
        <v>7</v>
      </c>
      <c r="E263" s="3" t="str">
        <f>HYPERLINK("https://springer.com/40066")</f>
        <v>https://springer.com/40066</v>
      </c>
      <c r="F263" s="2" t="s">
        <v>556</v>
      </c>
    </row>
    <row r="264" spans="1:6" ht="12.75" customHeight="1" x14ac:dyDescent="0.3">
      <c r="A264" s="2" t="s">
        <v>557</v>
      </c>
      <c r="B264" s="2" t="s">
        <v>21</v>
      </c>
      <c r="C264" s="4">
        <v>1643.24</v>
      </c>
      <c r="D264" s="2" t="s">
        <v>7</v>
      </c>
      <c r="E264" s="3" t="str">
        <f>HYPERLINK("https://springer.com/40068")</f>
        <v>https://springer.com/40068</v>
      </c>
      <c r="F264" s="2" t="s">
        <v>558</v>
      </c>
    </row>
    <row r="265" spans="1:6" ht="12.75" customHeight="1" x14ac:dyDescent="0.3">
      <c r="A265" s="2" t="s">
        <v>559</v>
      </c>
      <c r="B265" s="2" t="s">
        <v>16</v>
      </c>
      <c r="C265" s="4">
        <v>1097.3900000000001</v>
      </c>
      <c r="D265" s="2" t="s">
        <v>7</v>
      </c>
      <c r="E265" s="3" t="str">
        <f>HYPERLINK("https://springer.com/40069")</f>
        <v>https://springer.com/40069</v>
      </c>
      <c r="F265" s="2" t="s">
        <v>560</v>
      </c>
    </row>
    <row r="266" spans="1:6" ht="12.75" customHeight="1" x14ac:dyDescent="0.3">
      <c r="A266" s="2" t="s">
        <v>561</v>
      </c>
      <c r="B266" s="2" t="s">
        <v>22</v>
      </c>
      <c r="C266" s="4">
        <v>913.57</v>
      </c>
      <c r="D266" s="2" t="s">
        <v>7</v>
      </c>
      <c r="E266" s="3" t="str">
        <f>HYPERLINK("https://springer.com/40100")</f>
        <v>https://springer.com/40100</v>
      </c>
      <c r="F266" s="2" t="s">
        <v>562</v>
      </c>
    </row>
    <row r="267" spans="1:6" ht="12.75" customHeight="1" x14ac:dyDescent="0.3">
      <c r="A267" s="2" t="s">
        <v>563</v>
      </c>
      <c r="B267" s="2" t="s">
        <v>10</v>
      </c>
      <c r="C267" s="4">
        <v>1055.48</v>
      </c>
      <c r="D267" s="2" t="s">
        <v>117</v>
      </c>
      <c r="E267" s="3" t="str">
        <f>HYPERLINK("https://springer.com/40101")</f>
        <v>https://springer.com/40101</v>
      </c>
      <c r="F267" s="2" t="s">
        <v>564</v>
      </c>
    </row>
    <row r="268" spans="1:6" ht="12.75" customHeight="1" x14ac:dyDescent="0.3">
      <c r="A268" s="2" t="s">
        <v>565</v>
      </c>
      <c r="B268" s="2" t="s">
        <v>6</v>
      </c>
      <c r="C268" s="4">
        <v>1285.2</v>
      </c>
      <c r="D268" s="2" t="s">
        <v>117</v>
      </c>
      <c r="E268" s="3" t="str">
        <f>HYPERLINK("https://springer.com/40104")</f>
        <v>https://springer.com/40104</v>
      </c>
      <c r="F268" s="2" t="s">
        <v>566</v>
      </c>
    </row>
    <row r="269" spans="1:6" ht="12.75" customHeight="1" x14ac:dyDescent="0.3">
      <c r="A269" s="2" t="s">
        <v>567</v>
      </c>
      <c r="B269" s="2" t="s">
        <v>87</v>
      </c>
      <c r="C269" s="4">
        <v>1007.14</v>
      </c>
      <c r="D269" s="2" t="s">
        <v>7</v>
      </c>
      <c r="E269" s="3" t="str">
        <f>HYPERLINK("https://springer.com/40163")</f>
        <v>https://springer.com/40163</v>
      </c>
      <c r="F269" s="2" t="s">
        <v>568</v>
      </c>
    </row>
    <row r="270" spans="1:6" ht="12.75" customHeight="1" x14ac:dyDescent="0.3">
      <c r="A270" s="2" t="s">
        <v>569</v>
      </c>
      <c r="B270" s="2" t="s">
        <v>19</v>
      </c>
      <c r="C270" s="4">
        <v>1938.28</v>
      </c>
      <c r="D270" s="2" t="s">
        <v>117</v>
      </c>
      <c r="E270" s="3" t="str">
        <f>HYPERLINK("https://springer.com/40164")</f>
        <v>https://springer.com/40164</v>
      </c>
      <c r="F270" s="2" t="s">
        <v>570</v>
      </c>
    </row>
    <row r="271" spans="1:6" ht="12.75" customHeight="1" x14ac:dyDescent="0.3">
      <c r="A271" s="2" t="s">
        <v>571</v>
      </c>
      <c r="B271" s="2" t="s">
        <v>10</v>
      </c>
      <c r="C271" s="4">
        <v>3011.96</v>
      </c>
      <c r="D271" s="2" t="s">
        <v>7</v>
      </c>
      <c r="E271" s="3" t="str">
        <f>HYPERLINK("https://springer.com/40168")</f>
        <v>https://springer.com/40168</v>
      </c>
      <c r="F271" s="2" t="s">
        <v>572</v>
      </c>
    </row>
    <row r="272" spans="1:6" ht="12.75" customHeight="1" x14ac:dyDescent="0.3">
      <c r="A272" s="2" t="s">
        <v>573</v>
      </c>
      <c r="B272" s="2" t="s">
        <v>10</v>
      </c>
      <c r="C272" s="4">
        <v>1938.28</v>
      </c>
      <c r="D272" s="2" t="s">
        <v>7</v>
      </c>
      <c r="E272" s="3" t="str">
        <f>HYPERLINK("https://springer.com/40170")</f>
        <v>https://springer.com/40170</v>
      </c>
      <c r="F272" s="2" t="s">
        <v>574</v>
      </c>
    </row>
    <row r="273" spans="1:6" ht="12.75" customHeight="1" x14ac:dyDescent="0.3">
      <c r="A273" s="2" t="s">
        <v>575</v>
      </c>
      <c r="B273" s="2" t="s">
        <v>37</v>
      </c>
      <c r="C273" s="4">
        <v>1345.45</v>
      </c>
      <c r="D273" s="2" t="s">
        <v>7</v>
      </c>
      <c r="E273" s="3" t="str">
        <f>HYPERLINK("https://springer.com/40243")</f>
        <v>https://springer.com/40243</v>
      </c>
      <c r="F273" s="2" t="s">
        <v>576</v>
      </c>
    </row>
    <row r="274" spans="1:6" ht="12.75" customHeight="1" x14ac:dyDescent="0.3">
      <c r="A274" s="2" t="s">
        <v>577</v>
      </c>
      <c r="B274" s="2" t="s">
        <v>10</v>
      </c>
      <c r="C274" s="4">
        <v>2010.44</v>
      </c>
      <c r="D274" s="2" t="s">
        <v>7</v>
      </c>
      <c r="E274" s="3" t="str">
        <f>HYPERLINK("https://springer.com/40246")</f>
        <v>https://springer.com/40246</v>
      </c>
      <c r="F274" s="2" t="s">
        <v>578</v>
      </c>
    </row>
    <row r="275" spans="1:6" ht="12.75" customHeight="1" x14ac:dyDescent="0.3">
      <c r="A275" s="2" t="s">
        <v>579</v>
      </c>
      <c r="B275" s="2" t="s">
        <v>19</v>
      </c>
      <c r="C275" s="4">
        <v>1776.76</v>
      </c>
      <c r="D275" s="2" t="s">
        <v>117</v>
      </c>
      <c r="E275" s="3" t="str">
        <f>HYPERLINK("https://springer.com/40249")</f>
        <v>https://springer.com/40249</v>
      </c>
      <c r="F275" s="2" t="s">
        <v>580</v>
      </c>
    </row>
    <row r="276" spans="1:6" ht="12.75" customHeight="1" x14ac:dyDescent="0.3">
      <c r="A276" s="2" t="s">
        <v>581</v>
      </c>
      <c r="B276" s="2" t="s">
        <v>18</v>
      </c>
      <c r="C276" s="4">
        <v>950.13</v>
      </c>
      <c r="D276" s="2" t="s">
        <v>7</v>
      </c>
      <c r="E276" s="3" t="str">
        <f>HYPERLINK("https://springer.com/40309")</f>
        <v>https://springer.com/40309</v>
      </c>
      <c r="F276" s="2" t="s">
        <v>582</v>
      </c>
    </row>
    <row r="277" spans="1:6" ht="12.75" customHeight="1" x14ac:dyDescent="0.3">
      <c r="A277" s="2" t="s">
        <v>583</v>
      </c>
      <c r="B277" s="2" t="s">
        <v>6</v>
      </c>
      <c r="C277" s="4">
        <v>1441.28</v>
      </c>
      <c r="D277" s="2" t="s">
        <v>7</v>
      </c>
      <c r="E277" s="3" t="str">
        <f>HYPERLINK("https://springer.com/40317")</f>
        <v>https://springer.com/40317</v>
      </c>
      <c r="F277" s="2" t="s">
        <v>584</v>
      </c>
    </row>
    <row r="278" spans="1:6" ht="12.75" customHeight="1" x14ac:dyDescent="0.3">
      <c r="A278" s="2" t="s">
        <v>585</v>
      </c>
      <c r="B278" s="2" t="s">
        <v>16</v>
      </c>
      <c r="C278" s="4">
        <v>950.13</v>
      </c>
      <c r="D278" s="2" t="s">
        <v>7</v>
      </c>
      <c r="E278" s="3" t="str">
        <f>HYPERLINK("https://springer.com/40323")</f>
        <v>https://springer.com/40323</v>
      </c>
      <c r="F278" s="2" t="s">
        <v>586</v>
      </c>
    </row>
    <row r="279" spans="1:6" ht="12.75" customHeight="1" x14ac:dyDescent="0.3">
      <c r="A279" s="2" t="s">
        <v>587</v>
      </c>
      <c r="B279" s="2" t="s">
        <v>42</v>
      </c>
      <c r="C279" s="4">
        <v>1121.1600000000001</v>
      </c>
      <c r="D279" s="2" t="s">
        <v>7</v>
      </c>
      <c r="E279" s="3" t="str">
        <f>HYPERLINK("https://springer.com/40337")</f>
        <v>https://springer.com/40337</v>
      </c>
      <c r="F279" s="2" t="s">
        <v>588</v>
      </c>
    </row>
    <row r="280" spans="1:6" ht="12.75" customHeight="1" x14ac:dyDescent="0.3">
      <c r="A280" s="2" t="s">
        <v>589</v>
      </c>
      <c r="B280" s="2" t="s">
        <v>19</v>
      </c>
      <c r="C280" s="4">
        <v>1700.76</v>
      </c>
      <c r="D280" s="2" t="s">
        <v>7</v>
      </c>
      <c r="E280" s="3" t="str">
        <f>HYPERLINK("https://springer.com/40345")</f>
        <v>https://springer.com/40345</v>
      </c>
      <c r="F280" s="2" t="s">
        <v>590</v>
      </c>
    </row>
    <row r="281" spans="1:6" ht="12.75" customHeight="1" x14ac:dyDescent="0.3">
      <c r="A281" s="2" t="s">
        <v>591</v>
      </c>
      <c r="B281" s="2" t="s">
        <v>19</v>
      </c>
      <c r="C281" s="4">
        <v>1498.98</v>
      </c>
      <c r="D281" s="2" t="s">
        <v>7</v>
      </c>
      <c r="E281" s="3" t="str">
        <f>HYPERLINK("https://springer.com/40348")</f>
        <v>https://springer.com/40348</v>
      </c>
      <c r="F281" s="2" t="s">
        <v>592</v>
      </c>
    </row>
    <row r="282" spans="1:6" ht="12.75" customHeight="1" x14ac:dyDescent="0.3">
      <c r="A282" s="2" t="s">
        <v>593</v>
      </c>
      <c r="B282" s="2" t="s">
        <v>87</v>
      </c>
      <c r="C282" s="4">
        <v>1007.14</v>
      </c>
      <c r="D282" s="2" t="s">
        <v>7</v>
      </c>
      <c r="E282" s="3" t="str">
        <f>HYPERLINK("https://springer.com/40352")</f>
        <v>https://springer.com/40352</v>
      </c>
      <c r="F282" s="2" t="s">
        <v>594</v>
      </c>
    </row>
    <row r="283" spans="1:6" ht="12.75" customHeight="1" x14ac:dyDescent="0.3">
      <c r="A283" s="2" t="s">
        <v>595</v>
      </c>
      <c r="B283" s="2" t="s">
        <v>42</v>
      </c>
      <c r="C283" s="4">
        <v>973.08</v>
      </c>
      <c r="D283" s="2" t="s">
        <v>7</v>
      </c>
      <c r="E283" s="3" t="str">
        <f>HYPERLINK("https://springer.com/40359")</f>
        <v>https://springer.com/40359</v>
      </c>
      <c r="F283" s="2" t="s">
        <v>596</v>
      </c>
    </row>
    <row r="284" spans="1:6" ht="12.75" customHeight="1" x14ac:dyDescent="0.3">
      <c r="A284" s="2" t="s">
        <v>597</v>
      </c>
      <c r="B284" s="2" t="s">
        <v>10</v>
      </c>
      <c r="C284" s="4">
        <v>1826.84</v>
      </c>
      <c r="D284" s="2" t="s">
        <v>7</v>
      </c>
      <c r="E284" s="3" t="str">
        <f>HYPERLINK("https://springer.com/40360")</f>
        <v>https://springer.com/40360</v>
      </c>
      <c r="F284" s="2" t="s">
        <v>598</v>
      </c>
    </row>
    <row r="285" spans="1:6" ht="12.75" customHeight="1" x14ac:dyDescent="0.3">
      <c r="A285" s="2" t="s">
        <v>599</v>
      </c>
      <c r="B285" s="2" t="s">
        <v>10</v>
      </c>
      <c r="C285" s="4">
        <v>2061.8000000000002</v>
      </c>
      <c r="D285" s="2" t="s">
        <v>117</v>
      </c>
      <c r="E285" s="3" t="str">
        <f>HYPERLINK("https://springer.com/40364")</f>
        <v>https://springer.com/40364</v>
      </c>
      <c r="F285" s="2" t="s">
        <v>600</v>
      </c>
    </row>
    <row r="286" spans="1:6" ht="12.75" customHeight="1" x14ac:dyDescent="0.3">
      <c r="A286" s="2" t="s">
        <v>601</v>
      </c>
      <c r="B286" s="2" t="s">
        <v>49</v>
      </c>
      <c r="C286" s="4">
        <v>655.58</v>
      </c>
      <c r="D286" s="2" t="s">
        <v>7</v>
      </c>
      <c r="E286" s="3" t="str">
        <f>HYPERLINK("https://springer.com/40410")</f>
        <v>https://springer.com/40410</v>
      </c>
      <c r="F286" s="2" t="s">
        <v>602</v>
      </c>
    </row>
    <row r="287" spans="1:6" ht="12.75" customHeight="1" x14ac:dyDescent="0.3">
      <c r="A287" s="2" t="s">
        <v>603</v>
      </c>
      <c r="B287" s="2" t="s">
        <v>6</v>
      </c>
      <c r="C287" s="4">
        <v>1826.84</v>
      </c>
      <c r="D287" s="2" t="s">
        <v>7</v>
      </c>
      <c r="E287" s="3" t="str">
        <f>HYPERLINK("https://springer.com/40462")</f>
        <v>https://springer.com/40462</v>
      </c>
      <c r="F287" s="2" t="s">
        <v>604</v>
      </c>
    </row>
    <row r="288" spans="1:6" ht="12.75" customHeight="1" x14ac:dyDescent="0.3">
      <c r="A288" s="2" t="s">
        <v>605</v>
      </c>
      <c r="B288" s="2" t="s">
        <v>68</v>
      </c>
      <c r="C288" s="4">
        <v>840.86</v>
      </c>
      <c r="D288" s="2" t="s">
        <v>7</v>
      </c>
      <c r="E288" s="3" t="str">
        <f>HYPERLINK("https://springer.com/40468")</f>
        <v>https://springer.com/40468</v>
      </c>
      <c r="F288" s="2" t="s">
        <v>606</v>
      </c>
    </row>
    <row r="289" spans="1:6" ht="12.75" customHeight="1" x14ac:dyDescent="0.3">
      <c r="A289" s="2" t="s">
        <v>607</v>
      </c>
      <c r="B289" s="2" t="s">
        <v>10</v>
      </c>
      <c r="C289" s="4">
        <v>2365.85</v>
      </c>
      <c r="D289" s="2" t="s">
        <v>7</v>
      </c>
      <c r="E289" s="3" t="str">
        <f>HYPERLINK("https://springer.com/40478")</f>
        <v>https://springer.com/40478</v>
      </c>
      <c r="F289" s="2" t="s">
        <v>608</v>
      </c>
    </row>
    <row r="290" spans="1:6" ht="12.75" customHeight="1" x14ac:dyDescent="0.3">
      <c r="A290" s="2" t="s">
        <v>609</v>
      </c>
      <c r="B290" s="2" t="s">
        <v>19</v>
      </c>
      <c r="C290" s="4">
        <v>1643.24</v>
      </c>
      <c r="D290" s="2" t="s">
        <v>7</v>
      </c>
      <c r="E290" s="3" t="str">
        <f>HYPERLINK("https://springer.com/40479")</f>
        <v>https://springer.com/40479</v>
      </c>
      <c r="F290" s="2" t="s">
        <v>610</v>
      </c>
    </row>
    <row r="291" spans="1:6" ht="12.75" customHeight="1" x14ac:dyDescent="0.3">
      <c r="A291" s="2" t="s">
        <v>611</v>
      </c>
      <c r="B291" s="2" t="s">
        <v>9</v>
      </c>
      <c r="C291" s="4">
        <v>950.13</v>
      </c>
      <c r="D291" s="2" t="s">
        <v>7</v>
      </c>
      <c r="E291" s="3" t="str">
        <f>HYPERLINK("https://springer.com/40485")</f>
        <v>https://springer.com/40485</v>
      </c>
      <c r="F291" s="2" t="s">
        <v>612</v>
      </c>
    </row>
    <row r="292" spans="1:6" ht="12.75" customHeight="1" x14ac:dyDescent="0.3">
      <c r="A292" s="2" t="s">
        <v>613</v>
      </c>
      <c r="B292" s="2" t="s">
        <v>16</v>
      </c>
      <c r="C292" s="4">
        <v>1432</v>
      </c>
      <c r="D292" s="2" t="s">
        <v>7</v>
      </c>
      <c r="E292" s="3" t="str">
        <f>HYPERLINK("https://springer.com/40486")</f>
        <v>https://springer.com/40486</v>
      </c>
      <c r="F292" s="2" t="s">
        <v>614</v>
      </c>
    </row>
    <row r="293" spans="1:6" ht="12.75" customHeight="1" x14ac:dyDescent="0.3">
      <c r="A293" s="2" t="s">
        <v>615</v>
      </c>
      <c r="B293" s="2" t="s">
        <v>37</v>
      </c>
      <c r="C293" s="4">
        <v>1532.1</v>
      </c>
      <c r="D293" s="2" t="s">
        <v>7</v>
      </c>
      <c r="E293" s="3" t="str">
        <f>HYPERLINK("https://springer.com/40494")</f>
        <v>https://springer.com/40494</v>
      </c>
      <c r="F293" s="2" t="s">
        <v>616</v>
      </c>
    </row>
    <row r="294" spans="1:6" ht="12.75" customHeight="1" x14ac:dyDescent="0.3">
      <c r="A294" s="2" t="s">
        <v>617</v>
      </c>
      <c r="B294" s="2" t="s">
        <v>9</v>
      </c>
      <c r="C294" s="4">
        <v>1225.68</v>
      </c>
      <c r="D294" s="2" t="s">
        <v>7</v>
      </c>
      <c r="E294" s="3" t="str">
        <f>HYPERLINK("https://springer.com/40507")</f>
        <v>https://springer.com/40507</v>
      </c>
      <c r="F294" s="2" t="s">
        <v>618</v>
      </c>
    </row>
    <row r="295" spans="1:6" ht="12.75" customHeight="1" x14ac:dyDescent="0.3">
      <c r="A295" s="2" t="s">
        <v>619</v>
      </c>
      <c r="B295" s="2" t="s">
        <v>20</v>
      </c>
      <c r="C295" s="4">
        <v>1448</v>
      </c>
      <c r="D295" s="2" t="s">
        <v>7</v>
      </c>
      <c r="E295" s="3" t="str">
        <f>HYPERLINK("https://springer.com/40510")</f>
        <v>https://springer.com/40510</v>
      </c>
      <c r="F295" s="2" t="s">
        <v>620</v>
      </c>
    </row>
    <row r="296" spans="1:6" ht="12.75" customHeight="1" x14ac:dyDescent="0.3">
      <c r="A296" s="2" t="s">
        <v>621</v>
      </c>
      <c r="B296" s="2" t="s">
        <v>12</v>
      </c>
      <c r="C296" s="4">
        <v>1097.3900000000001</v>
      </c>
      <c r="D296" s="2" t="s">
        <v>7</v>
      </c>
      <c r="E296" s="3" t="str">
        <f>HYPERLINK("https://springer.com/40517")</f>
        <v>https://springer.com/40517</v>
      </c>
      <c r="F296" s="2" t="s">
        <v>622</v>
      </c>
    </row>
    <row r="297" spans="1:6" ht="12.75" customHeight="1" x14ac:dyDescent="0.3">
      <c r="A297" s="2" t="s">
        <v>623</v>
      </c>
      <c r="B297" s="2" t="s">
        <v>19</v>
      </c>
      <c r="C297" s="4">
        <v>2733.76</v>
      </c>
      <c r="D297" s="2" t="s">
        <v>7</v>
      </c>
      <c r="E297" s="3" t="str">
        <f>HYPERLINK("https://springer.com/40519")</f>
        <v>https://springer.com/40519</v>
      </c>
      <c r="F297" s="2" t="s">
        <v>624</v>
      </c>
    </row>
    <row r="298" spans="1:6" ht="12.75" customHeight="1" x14ac:dyDescent="0.3">
      <c r="A298" s="2" t="s">
        <v>625</v>
      </c>
      <c r="B298" s="2" t="s">
        <v>19</v>
      </c>
      <c r="C298" s="4">
        <v>2712</v>
      </c>
      <c r="D298" s="2" t="s">
        <v>7</v>
      </c>
      <c r="E298" s="3" t="str">
        <f>HYPERLINK("https://springer.com/40520")</f>
        <v>https://springer.com/40520</v>
      </c>
      <c r="F298" s="2" t="s">
        <v>626</v>
      </c>
    </row>
    <row r="299" spans="1:6" ht="12.75" customHeight="1" x14ac:dyDescent="0.3">
      <c r="A299" s="2" t="s">
        <v>627</v>
      </c>
      <c r="B299" s="2" t="s">
        <v>6</v>
      </c>
      <c r="C299" s="4">
        <v>1432</v>
      </c>
      <c r="D299" s="2" t="s">
        <v>7</v>
      </c>
      <c r="E299" s="3" t="str">
        <f>HYPERLINK("https://springer.com/40529")</f>
        <v>https://springer.com/40529</v>
      </c>
      <c r="F299" s="2" t="s">
        <v>628</v>
      </c>
    </row>
    <row r="300" spans="1:6" ht="12.75" customHeight="1" x14ac:dyDescent="0.3">
      <c r="A300" s="2" t="s">
        <v>629</v>
      </c>
      <c r="B300" s="2" t="s">
        <v>17</v>
      </c>
      <c r="C300" s="4">
        <v>1184.23</v>
      </c>
      <c r="D300" s="2" t="s">
        <v>7</v>
      </c>
      <c r="E300" s="3" t="str">
        <f>HYPERLINK("https://springer.com/40537")</f>
        <v>https://springer.com/40537</v>
      </c>
      <c r="F300" s="2" t="s">
        <v>630</v>
      </c>
    </row>
    <row r="301" spans="1:6" ht="12.75" customHeight="1" x14ac:dyDescent="0.3">
      <c r="A301" s="2" t="s">
        <v>631</v>
      </c>
      <c r="B301" s="2" t="s">
        <v>6</v>
      </c>
      <c r="C301" s="4">
        <v>1605.74</v>
      </c>
      <c r="D301" s="2" t="s">
        <v>7</v>
      </c>
      <c r="E301" s="3" t="str">
        <f>HYPERLINK("https://springer.com/40538")</f>
        <v>https://springer.com/40538</v>
      </c>
      <c r="F301" s="2" t="s">
        <v>632</v>
      </c>
    </row>
    <row r="302" spans="1:6" ht="12.75" customHeight="1" x14ac:dyDescent="0.3">
      <c r="A302" s="2" t="s">
        <v>633</v>
      </c>
      <c r="B302" s="2" t="s">
        <v>25</v>
      </c>
      <c r="C302" s="4">
        <v>1647.72</v>
      </c>
      <c r="D302" s="2" t="s">
        <v>7</v>
      </c>
      <c r="E302" s="3" t="str">
        <f>HYPERLINK("https://springer.com/40543")</f>
        <v>https://springer.com/40543</v>
      </c>
      <c r="F302" s="2" t="s">
        <v>634</v>
      </c>
    </row>
    <row r="303" spans="1:6" ht="12.75" customHeight="1" x14ac:dyDescent="0.3">
      <c r="A303" s="2" t="s">
        <v>635</v>
      </c>
      <c r="B303" s="2" t="s">
        <v>25</v>
      </c>
      <c r="C303" s="4">
        <v>1491.72</v>
      </c>
      <c r="D303" s="2" t="s">
        <v>7</v>
      </c>
      <c r="E303" s="3" t="str">
        <f>HYPERLINK("https://springer.com/40550")</f>
        <v>https://springer.com/40550</v>
      </c>
      <c r="F303" s="2" t="s">
        <v>636</v>
      </c>
    </row>
    <row r="304" spans="1:6" ht="12.75" customHeight="1" x14ac:dyDescent="0.3">
      <c r="A304" s="2" t="s">
        <v>637</v>
      </c>
      <c r="B304" s="2" t="s">
        <v>19</v>
      </c>
      <c r="C304" s="4">
        <v>1643.24</v>
      </c>
      <c r="D304" s="2" t="s">
        <v>7</v>
      </c>
      <c r="E304" s="3" t="str">
        <f>HYPERLINK("https://springer.com/40560")</f>
        <v>https://springer.com/40560</v>
      </c>
      <c r="F304" s="2" t="s">
        <v>638</v>
      </c>
    </row>
    <row r="305" spans="1:6" ht="12.75" customHeight="1" x14ac:dyDescent="0.3">
      <c r="A305" s="2" t="s">
        <v>639</v>
      </c>
      <c r="B305" s="2" t="s">
        <v>68</v>
      </c>
      <c r="C305" s="4">
        <v>1109.52</v>
      </c>
      <c r="D305" s="2" t="s">
        <v>7</v>
      </c>
      <c r="E305" s="3" t="str">
        <f>HYPERLINK("https://springer.com/40561")</f>
        <v>https://springer.com/40561</v>
      </c>
      <c r="F305" s="2" t="s">
        <v>640</v>
      </c>
    </row>
    <row r="306" spans="1:6" ht="12.75" customHeight="1" x14ac:dyDescent="0.3">
      <c r="A306" s="2" t="s">
        <v>641</v>
      </c>
      <c r="B306" s="2" t="s">
        <v>12</v>
      </c>
      <c r="C306" s="4">
        <v>760.11</v>
      </c>
      <c r="D306" s="2" t="s">
        <v>7</v>
      </c>
      <c r="E306" s="3" t="str">
        <f>HYPERLINK("https://springer.com/40562")</f>
        <v>https://springer.com/40562</v>
      </c>
      <c r="F306" s="2" t="s">
        <v>642</v>
      </c>
    </row>
    <row r="307" spans="1:6" ht="12.75" customHeight="1" x14ac:dyDescent="0.3">
      <c r="A307" s="2" t="s">
        <v>643</v>
      </c>
      <c r="B307" s="2" t="s">
        <v>6</v>
      </c>
      <c r="C307" s="4">
        <v>940.63</v>
      </c>
      <c r="D307" s="2" t="s">
        <v>7</v>
      </c>
      <c r="E307" s="3" t="str">
        <f>HYPERLINK("https://springer.com/40575")</f>
        <v>https://springer.com/40575</v>
      </c>
      <c r="F307" s="2" t="s">
        <v>644</v>
      </c>
    </row>
    <row r="308" spans="1:6" ht="12.75" customHeight="1" x14ac:dyDescent="0.3">
      <c r="A308" s="2" t="s">
        <v>645</v>
      </c>
      <c r="B308" s="2" t="s">
        <v>37</v>
      </c>
      <c r="C308" s="4">
        <v>2031.16</v>
      </c>
      <c r="D308" s="2" t="s">
        <v>7</v>
      </c>
      <c r="E308" s="3" t="str">
        <f>HYPERLINK("https://springer.com/40580")</f>
        <v>https://springer.com/40580</v>
      </c>
      <c r="F308" s="2" t="s">
        <v>646</v>
      </c>
    </row>
    <row r="309" spans="1:6" ht="12.75" customHeight="1" x14ac:dyDescent="0.3">
      <c r="A309" s="2" t="s">
        <v>647</v>
      </c>
      <c r="B309" s="2" t="s">
        <v>68</v>
      </c>
      <c r="C309" s="4">
        <v>940.63</v>
      </c>
      <c r="D309" s="2" t="s">
        <v>7</v>
      </c>
      <c r="E309" s="3" t="str">
        <f>HYPERLINK("https://springer.com/40594")</f>
        <v>https://springer.com/40594</v>
      </c>
      <c r="F309" s="2" t="s">
        <v>648</v>
      </c>
    </row>
    <row r="310" spans="1:6" ht="12.75" customHeight="1" x14ac:dyDescent="0.3">
      <c r="A310" s="2" t="s">
        <v>649</v>
      </c>
      <c r="B310" s="2" t="s">
        <v>19</v>
      </c>
      <c r="C310" s="4">
        <v>1405.44</v>
      </c>
      <c r="D310" s="2" t="s">
        <v>7</v>
      </c>
      <c r="E310" s="3" t="str">
        <f>HYPERLINK("https://springer.com/40621")</f>
        <v>https://springer.com/40621</v>
      </c>
      <c r="F310" s="2" t="s">
        <v>650</v>
      </c>
    </row>
    <row r="311" spans="1:6" ht="12.75" customHeight="1" x14ac:dyDescent="0.3">
      <c r="A311" s="2" t="s">
        <v>651</v>
      </c>
      <c r="B311" s="2" t="s">
        <v>12</v>
      </c>
      <c r="C311" s="4">
        <v>1028.3699999999999</v>
      </c>
      <c r="D311" s="2" t="s">
        <v>7</v>
      </c>
      <c r="E311" s="3" t="str">
        <f>HYPERLINK("https://springer.com/40623")</f>
        <v>https://springer.com/40623</v>
      </c>
      <c r="F311" s="2" t="s">
        <v>652</v>
      </c>
    </row>
    <row r="312" spans="1:6" ht="12.75" customHeight="1" x14ac:dyDescent="0.3">
      <c r="A312" s="2" t="s">
        <v>653</v>
      </c>
      <c r="B312" s="2" t="s">
        <v>19</v>
      </c>
      <c r="C312" s="4">
        <v>1705.38</v>
      </c>
      <c r="D312" s="2" t="s">
        <v>7</v>
      </c>
      <c r="E312" s="3" t="str">
        <f>HYPERLINK("https://springer.com/40635")</f>
        <v>https://springer.com/40635</v>
      </c>
      <c r="F312" s="2" t="s">
        <v>654</v>
      </c>
    </row>
    <row r="313" spans="1:6" ht="12.75" customHeight="1" x14ac:dyDescent="0.3">
      <c r="A313" s="2" t="s">
        <v>655</v>
      </c>
      <c r="B313" s="2" t="s">
        <v>25</v>
      </c>
      <c r="C313" s="4">
        <v>989.8</v>
      </c>
      <c r="D313" s="2" t="s">
        <v>7</v>
      </c>
      <c r="E313" s="3" t="str">
        <f>HYPERLINK("https://springer.com/40643")</f>
        <v>https://springer.com/40643</v>
      </c>
      <c r="F313" s="2" t="s">
        <v>656</v>
      </c>
    </row>
    <row r="314" spans="1:6" ht="12.75" customHeight="1" x14ac:dyDescent="0.3">
      <c r="A314" s="2" t="s">
        <v>657</v>
      </c>
      <c r="B314" s="2" t="s">
        <v>19</v>
      </c>
      <c r="C314" s="4">
        <v>1657.99</v>
      </c>
      <c r="D314" s="2" t="s">
        <v>117</v>
      </c>
      <c r="E314" s="3" t="str">
        <f>HYPERLINK("https://springer.com/40644")</f>
        <v>https://springer.com/40644</v>
      </c>
      <c r="F314" s="2" t="s">
        <v>658</v>
      </c>
    </row>
    <row r="315" spans="1:6" ht="12.75" customHeight="1" x14ac:dyDescent="0.3">
      <c r="A315" s="2" t="s">
        <v>659</v>
      </c>
      <c r="B315" s="2" t="s">
        <v>12</v>
      </c>
      <c r="C315" s="4">
        <v>1191.2</v>
      </c>
      <c r="D315" s="2" t="s">
        <v>7</v>
      </c>
      <c r="E315" s="3" t="str">
        <f>HYPERLINK("https://springer.com/40645")</f>
        <v>https://springer.com/40645</v>
      </c>
      <c r="F315" s="2" t="s">
        <v>660</v>
      </c>
    </row>
    <row r="316" spans="1:6" ht="12.75" customHeight="1" x14ac:dyDescent="0.3">
      <c r="A316" s="2" t="s">
        <v>661</v>
      </c>
      <c r="B316" s="2" t="s">
        <v>16</v>
      </c>
      <c r="C316" s="4">
        <v>942.67</v>
      </c>
      <c r="D316" s="2" t="s">
        <v>7</v>
      </c>
      <c r="E316" s="3" t="str">
        <f>HYPERLINK("https://springer.com/40648")</f>
        <v>https://springer.com/40648</v>
      </c>
      <c r="F316" s="2" t="s">
        <v>662</v>
      </c>
    </row>
    <row r="317" spans="1:6" ht="12.75" customHeight="1" x14ac:dyDescent="0.3">
      <c r="A317" s="2" t="s">
        <v>663</v>
      </c>
      <c r="B317" s="2" t="s">
        <v>19</v>
      </c>
      <c r="C317" s="4">
        <v>1353.94</v>
      </c>
      <c r="D317" s="2" t="s">
        <v>7</v>
      </c>
      <c r="E317" s="3" t="str">
        <f>HYPERLINK("https://springer.com/40658")</f>
        <v>https://springer.com/40658</v>
      </c>
      <c r="F317" s="2" t="s">
        <v>664</v>
      </c>
    </row>
    <row r="318" spans="1:6" ht="12.75" customHeight="1" x14ac:dyDescent="0.3">
      <c r="A318" s="2" t="s">
        <v>665</v>
      </c>
      <c r="B318" s="2" t="s">
        <v>6</v>
      </c>
      <c r="C318" s="4">
        <v>1735.04</v>
      </c>
      <c r="D318" s="2" t="s">
        <v>117</v>
      </c>
      <c r="E318" s="3" t="str">
        <f>HYPERLINK("https://springer.com/40659")</f>
        <v>https://springer.com/40659</v>
      </c>
      <c r="F318" s="2" t="s">
        <v>666</v>
      </c>
    </row>
    <row r="319" spans="1:6" ht="12.75" customHeight="1" x14ac:dyDescent="0.3">
      <c r="A319" s="2" t="s">
        <v>667</v>
      </c>
      <c r="B319" s="2" t="s">
        <v>19</v>
      </c>
      <c r="C319" s="4">
        <v>1705.38</v>
      </c>
      <c r="D319" s="2" t="s">
        <v>117</v>
      </c>
      <c r="E319" s="3" t="str">
        <f>HYPERLINK("https://springer.com/40662")</f>
        <v>https://springer.com/40662</v>
      </c>
      <c r="F319" s="2" t="s">
        <v>668</v>
      </c>
    </row>
    <row r="320" spans="1:6" ht="12.75" customHeight="1" x14ac:dyDescent="0.3">
      <c r="A320" s="2" t="s">
        <v>669</v>
      </c>
      <c r="B320" s="2" t="s">
        <v>21</v>
      </c>
      <c r="C320" s="4">
        <v>760.11</v>
      </c>
      <c r="D320" s="2" t="s">
        <v>7</v>
      </c>
      <c r="E320" s="3" t="str">
        <f>HYPERLINK("https://springer.com/40677")</f>
        <v>https://springer.com/40677</v>
      </c>
      <c r="F320" s="2" t="s">
        <v>670</v>
      </c>
    </row>
    <row r="321" spans="1:6" ht="12.75" customHeight="1" x14ac:dyDescent="0.3">
      <c r="A321" s="2" t="s">
        <v>671</v>
      </c>
      <c r="B321" s="2" t="s">
        <v>25</v>
      </c>
      <c r="C321" s="4">
        <v>1097.3900000000001</v>
      </c>
      <c r="D321" s="2" t="s">
        <v>7</v>
      </c>
      <c r="E321" s="3" t="str">
        <f>HYPERLINK("https://springer.com/40691")</f>
        <v>https://springer.com/40691</v>
      </c>
      <c r="F321" s="2" t="s">
        <v>672</v>
      </c>
    </row>
    <row r="322" spans="1:6" ht="12.75" customHeight="1" x14ac:dyDescent="0.3">
      <c r="A322" s="2" t="s">
        <v>673</v>
      </c>
      <c r="B322" s="2" t="s">
        <v>6</v>
      </c>
      <c r="C322" s="4">
        <v>1501.21</v>
      </c>
      <c r="D322" s="2" t="s">
        <v>7</v>
      </c>
      <c r="E322" s="3" t="str">
        <f>HYPERLINK("https://springer.com/40693")</f>
        <v>https://springer.com/40693</v>
      </c>
      <c r="F322" s="2" t="s">
        <v>674</v>
      </c>
    </row>
    <row r="323" spans="1:6" ht="12.75" customHeight="1" x14ac:dyDescent="0.3">
      <c r="A323" s="2" t="s">
        <v>675</v>
      </c>
      <c r="B323" s="2" t="s">
        <v>6</v>
      </c>
      <c r="C323" s="4">
        <v>1491.72</v>
      </c>
      <c r="D323" s="2" t="s">
        <v>7</v>
      </c>
      <c r="E323" s="3" t="str">
        <f>HYPERLINK("https://springer.com/40694")</f>
        <v>https://springer.com/40694</v>
      </c>
      <c r="F323" s="2" t="s">
        <v>676</v>
      </c>
    </row>
    <row r="324" spans="1:6" ht="12.75" customHeight="1" x14ac:dyDescent="0.3">
      <c r="A324" s="2" t="s">
        <v>677</v>
      </c>
      <c r="B324" s="2" t="s">
        <v>12</v>
      </c>
      <c r="C324" s="4">
        <v>1392.54</v>
      </c>
      <c r="D324" s="2" t="s">
        <v>7</v>
      </c>
      <c r="E324" s="3" t="str">
        <f>HYPERLINK("https://springer.com/40703")</f>
        <v>https://springer.com/40703</v>
      </c>
      <c r="F324" s="2" t="s">
        <v>678</v>
      </c>
    </row>
    <row r="325" spans="1:6" ht="12.75" customHeight="1" x14ac:dyDescent="0.3">
      <c r="A325" s="2" t="s">
        <v>679</v>
      </c>
      <c r="B325" s="2" t="s">
        <v>17</v>
      </c>
      <c r="C325" s="4">
        <v>656.35</v>
      </c>
      <c r="D325" s="2" t="s">
        <v>7</v>
      </c>
      <c r="E325" s="3" t="str">
        <f>HYPERLINK("https://springer.com/40708")</f>
        <v>https://springer.com/40708</v>
      </c>
      <c r="F325" s="2" t="s">
        <v>680</v>
      </c>
    </row>
    <row r="326" spans="1:6" ht="12.75" customHeight="1" x14ac:dyDescent="0.3">
      <c r="A326" s="2" t="s">
        <v>681</v>
      </c>
      <c r="B326" s="2" t="s">
        <v>16</v>
      </c>
      <c r="C326" s="4">
        <v>1062.6400000000001</v>
      </c>
      <c r="D326" s="2" t="s">
        <v>7</v>
      </c>
      <c r="E326" s="3" t="str">
        <f>HYPERLINK("https://springer.com/40712")</f>
        <v>https://springer.com/40712</v>
      </c>
      <c r="F326" s="2" t="s">
        <v>682</v>
      </c>
    </row>
    <row r="327" spans="1:6" ht="12.75" customHeight="1" x14ac:dyDescent="0.3">
      <c r="A327" s="2" t="s">
        <v>683</v>
      </c>
      <c r="B327" s="2" t="s">
        <v>20</v>
      </c>
      <c r="C327" s="4">
        <v>1942.46</v>
      </c>
      <c r="D327" s="2" t="s">
        <v>7</v>
      </c>
      <c r="E327" s="3" t="str">
        <f>HYPERLINK("https://springer.com/40729")</f>
        <v>https://springer.com/40729</v>
      </c>
      <c r="F327" s="2" t="s">
        <v>684</v>
      </c>
    </row>
    <row r="328" spans="1:6" ht="12.75" customHeight="1" x14ac:dyDescent="0.3">
      <c r="A328" s="2" t="s">
        <v>685</v>
      </c>
      <c r="B328" s="2" t="s">
        <v>16</v>
      </c>
      <c r="C328" s="4">
        <v>1392.54</v>
      </c>
      <c r="D328" s="2" t="s">
        <v>7</v>
      </c>
      <c r="E328" s="3" t="str">
        <f>HYPERLINK("https://springer.com/40747")</f>
        <v>https://springer.com/40747</v>
      </c>
      <c r="F328" s="2" t="s">
        <v>686</v>
      </c>
    </row>
    <row r="329" spans="1:6" ht="12.75" customHeight="1" x14ac:dyDescent="0.3">
      <c r="A329" s="2" t="s">
        <v>687</v>
      </c>
      <c r="B329" s="2" t="s">
        <v>19</v>
      </c>
      <c r="C329" s="4">
        <v>1700.76</v>
      </c>
      <c r="D329" s="2" t="s">
        <v>7</v>
      </c>
      <c r="E329" s="3" t="str">
        <f>HYPERLINK("https://springer.com/40748")</f>
        <v>https://springer.com/40748</v>
      </c>
      <c r="F329" s="2" t="s">
        <v>688</v>
      </c>
    </row>
    <row r="330" spans="1:6" ht="12.75" customHeight="1" x14ac:dyDescent="0.3">
      <c r="A330" s="2" t="s">
        <v>689</v>
      </c>
      <c r="B330" s="2" t="s">
        <v>10</v>
      </c>
      <c r="C330" s="4">
        <v>1672</v>
      </c>
      <c r="D330" s="2" t="s">
        <v>117</v>
      </c>
      <c r="E330" s="3" t="str">
        <f>HYPERLINK("https://springer.com/40780")</f>
        <v>https://springer.com/40780</v>
      </c>
      <c r="F330" s="2" t="s">
        <v>690</v>
      </c>
    </row>
    <row r="331" spans="1:6" ht="12.75" customHeight="1" x14ac:dyDescent="0.3">
      <c r="A331" s="2" t="s">
        <v>691</v>
      </c>
      <c r="B331" s="2" t="s">
        <v>6</v>
      </c>
      <c r="C331" s="4">
        <v>1410.95</v>
      </c>
      <c r="D331" s="2" t="s">
        <v>7</v>
      </c>
      <c r="E331" s="3" t="str">
        <f>HYPERLINK("https://springer.com/40793")</f>
        <v>https://springer.com/40793</v>
      </c>
      <c r="F331" s="2" t="s">
        <v>692</v>
      </c>
    </row>
    <row r="332" spans="1:6" ht="12.75" customHeight="1" x14ac:dyDescent="0.3">
      <c r="A332" s="2" t="s">
        <v>693</v>
      </c>
      <c r="B332" s="2" t="s">
        <v>19</v>
      </c>
      <c r="C332" s="4">
        <v>1735.04</v>
      </c>
      <c r="D332" s="2" t="s">
        <v>7</v>
      </c>
      <c r="E332" s="3" t="str">
        <f>HYPERLINK("https://springer.com/40794")</f>
        <v>https://springer.com/40794</v>
      </c>
      <c r="F332" s="2" t="s">
        <v>694</v>
      </c>
    </row>
    <row r="333" spans="1:6" ht="12.75" customHeight="1" x14ac:dyDescent="0.3">
      <c r="A333" s="2" t="s">
        <v>695</v>
      </c>
      <c r="B333" s="2" t="s">
        <v>19</v>
      </c>
      <c r="C333" s="4">
        <v>1225.68</v>
      </c>
      <c r="D333" s="2" t="s">
        <v>7</v>
      </c>
      <c r="E333" s="3" t="str">
        <f>HYPERLINK("https://springer.com/40795")</f>
        <v>https://springer.com/40795</v>
      </c>
      <c r="F333" s="2" t="s">
        <v>696</v>
      </c>
    </row>
    <row r="334" spans="1:6" ht="12.75" customHeight="1" x14ac:dyDescent="0.3">
      <c r="A334" s="2" t="s">
        <v>697</v>
      </c>
      <c r="B334" s="2" t="s">
        <v>19</v>
      </c>
      <c r="C334" s="4">
        <v>1776.76</v>
      </c>
      <c r="D334" s="2" t="s">
        <v>7</v>
      </c>
      <c r="E334" s="3" t="str">
        <f>HYPERLINK("https://springer.com/40798")</f>
        <v>https://springer.com/40798</v>
      </c>
      <c r="F334" s="2" t="s">
        <v>698</v>
      </c>
    </row>
    <row r="335" spans="1:6" ht="12.75" customHeight="1" x14ac:dyDescent="0.3">
      <c r="A335" s="2" t="s">
        <v>699</v>
      </c>
      <c r="B335" s="2" t="s">
        <v>92</v>
      </c>
      <c r="C335" s="4">
        <v>750.59</v>
      </c>
      <c r="D335" s="2" t="s">
        <v>7</v>
      </c>
      <c r="E335" s="3" t="str">
        <f>HYPERLINK("https://springer.com/40807")</f>
        <v>https://springer.com/40807</v>
      </c>
      <c r="F335" s="2" t="s">
        <v>700</v>
      </c>
    </row>
    <row r="336" spans="1:6" ht="12.75" customHeight="1" x14ac:dyDescent="0.3">
      <c r="A336" s="2" t="s">
        <v>701</v>
      </c>
      <c r="B336" s="2" t="s">
        <v>19</v>
      </c>
      <c r="C336" s="4">
        <v>1441.28</v>
      </c>
      <c r="D336" s="2" t="s">
        <v>117</v>
      </c>
      <c r="E336" s="3" t="str">
        <f>HYPERLINK("https://springer.com/40813")</f>
        <v>https://springer.com/40813</v>
      </c>
      <c r="F336" s="2" t="s">
        <v>702</v>
      </c>
    </row>
    <row r="337" spans="1:6" ht="12.75" customHeight="1" x14ac:dyDescent="0.3">
      <c r="A337" s="2" t="s">
        <v>703</v>
      </c>
      <c r="B337" s="2" t="s">
        <v>19</v>
      </c>
      <c r="C337" s="4">
        <v>1587.68</v>
      </c>
      <c r="D337" s="2" t="s">
        <v>7</v>
      </c>
      <c r="E337" s="3" t="str">
        <f>HYPERLINK("https://springer.com/40814")</f>
        <v>https://springer.com/40814</v>
      </c>
      <c r="F337" s="2" t="s">
        <v>704</v>
      </c>
    </row>
    <row r="338" spans="1:6" ht="12.75" customHeight="1" x14ac:dyDescent="0.3">
      <c r="A338" s="2" t="s">
        <v>705</v>
      </c>
      <c r="B338" s="2" t="s">
        <v>16</v>
      </c>
      <c r="C338" s="4">
        <v>989.8</v>
      </c>
      <c r="D338" s="2" t="s">
        <v>7</v>
      </c>
      <c r="E338" s="3" t="str">
        <f>HYPERLINK("https://springer.com/40820")</f>
        <v>https://springer.com/40820</v>
      </c>
      <c r="F338" s="2" t="s">
        <v>706</v>
      </c>
    </row>
    <row r="339" spans="1:6" ht="12.75" customHeight="1" x14ac:dyDescent="0.3">
      <c r="A339" s="2" t="s">
        <v>707</v>
      </c>
      <c r="B339" s="2" t="s">
        <v>19</v>
      </c>
      <c r="C339" s="4">
        <v>1491.72</v>
      </c>
      <c r="D339" s="2" t="s">
        <v>7</v>
      </c>
      <c r="E339" s="3" t="str">
        <f>HYPERLINK("https://springer.com/40834")</f>
        <v>https://springer.com/40834</v>
      </c>
      <c r="F339" s="2" t="s">
        <v>708</v>
      </c>
    </row>
    <row r="340" spans="1:6" ht="12.75" customHeight="1" x14ac:dyDescent="0.3">
      <c r="A340" s="2" t="s">
        <v>709</v>
      </c>
      <c r="B340" s="2" t="s">
        <v>19</v>
      </c>
      <c r="C340" s="4">
        <v>1564.92</v>
      </c>
      <c r="D340" s="2" t="s">
        <v>7</v>
      </c>
      <c r="E340" s="3" t="str">
        <f>HYPERLINK("https://springer.com/40842")</f>
        <v>https://springer.com/40842</v>
      </c>
      <c r="F340" s="2" t="s">
        <v>710</v>
      </c>
    </row>
    <row r="341" spans="1:6" ht="12.75" customHeight="1" x14ac:dyDescent="0.3">
      <c r="A341" s="2" t="s">
        <v>711</v>
      </c>
      <c r="B341" s="2" t="s">
        <v>6</v>
      </c>
      <c r="C341" s="4">
        <v>1007.14</v>
      </c>
      <c r="D341" s="2" t="s">
        <v>7</v>
      </c>
      <c r="E341" s="3" t="str">
        <f>HYPERLINK("https://springer.com/40850")</f>
        <v>https://springer.com/40850</v>
      </c>
      <c r="F341" s="2" t="s">
        <v>712</v>
      </c>
    </row>
    <row r="342" spans="1:6" ht="12.75" customHeight="1" x14ac:dyDescent="0.3">
      <c r="A342" s="2" t="s">
        <v>713</v>
      </c>
      <c r="B342" s="2" t="s">
        <v>6</v>
      </c>
      <c r="C342" s="4">
        <v>1352</v>
      </c>
      <c r="D342" s="2" t="s">
        <v>117</v>
      </c>
      <c r="E342" s="3" t="str">
        <f>HYPERLINK("https://springer.com/40851")</f>
        <v>https://springer.com/40851</v>
      </c>
      <c r="F342" s="2" t="s">
        <v>714</v>
      </c>
    </row>
    <row r="343" spans="1:6" ht="12.75" customHeight="1" x14ac:dyDescent="0.3">
      <c r="A343" s="2" t="s">
        <v>715</v>
      </c>
      <c r="B343" s="2" t="s">
        <v>68</v>
      </c>
      <c r="C343" s="4">
        <v>912.12</v>
      </c>
      <c r="D343" s="2" t="s">
        <v>7</v>
      </c>
      <c r="E343" s="3" t="str">
        <f>HYPERLINK("https://springer.com/40862")</f>
        <v>https://springer.com/40862</v>
      </c>
      <c r="F343" s="2" t="s">
        <v>716</v>
      </c>
    </row>
    <row r="344" spans="1:6" ht="12.75" customHeight="1" x14ac:dyDescent="0.3">
      <c r="A344" s="2" t="s">
        <v>717</v>
      </c>
      <c r="B344" s="2" t="s">
        <v>16</v>
      </c>
      <c r="C344" s="4">
        <v>1032</v>
      </c>
      <c r="D344" s="2" t="s">
        <v>7</v>
      </c>
      <c r="E344" s="3" t="str">
        <f>HYPERLINK("https://springer.com/40864")</f>
        <v>https://springer.com/40864</v>
      </c>
      <c r="F344" s="2" t="s">
        <v>718</v>
      </c>
    </row>
    <row r="345" spans="1:6" ht="12.75" customHeight="1" x14ac:dyDescent="0.3">
      <c r="A345" s="2" t="s">
        <v>719</v>
      </c>
      <c r="B345" s="2" t="s">
        <v>73</v>
      </c>
      <c r="C345" s="4">
        <v>881.28</v>
      </c>
      <c r="D345" s="2" t="s">
        <v>7</v>
      </c>
      <c r="E345" s="3" t="str">
        <f>HYPERLINK("https://springer.com/40878")</f>
        <v>https://springer.com/40878</v>
      </c>
      <c r="F345" s="2" t="s">
        <v>720</v>
      </c>
    </row>
    <row r="346" spans="1:6" ht="12.75" customHeight="1" x14ac:dyDescent="0.3">
      <c r="A346" s="2" t="s">
        <v>721</v>
      </c>
      <c r="B346" s="2" t="s">
        <v>19</v>
      </c>
      <c r="C346" s="4">
        <v>1676.37</v>
      </c>
      <c r="D346" s="2" t="s">
        <v>7</v>
      </c>
      <c r="E346" s="3" t="str">
        <f>HYPERLINK("https://springer.com/40900")</f>
        <v>https://springer.com/40900</v>
      </c>
      <c r="F346" s="2" t="s">
        <v>722</v>
      </c>
    </row>
    <row r="347" spans="1:6" ht="12.75" customHeight="1" x14ac:dyDescent="0.3">
      <c r="A347" s="2" t="s">
        <v>723</v>
      </c>
      <c r="B347" s="2" t="s">
        <v>20</v>
      </c>
      <c r="C347" s="4">
        <v>1406.2</v>
      </c>
      <c r="D347" s="2" t="s">
        <v>7</v>
      </c>
      <c r="E347" s="3" t="str">
        <f>HYPERLINK("https://springer.com/40902")</f>
        <v>https://springer.com/40902</v>
      </c>
      <c r="F347" s="2" t="s">
        <v>724</v>
      </c>
    </row>
    <row r="348" spans="1:6" ht="12.75" customHeight="1" x14ac:dyDescent="0.3">
      <c r="A348" s="2" t="s">
        <v>725</v>
      </c>
      <c r="B348" s="2" t="s">
        <v>19</v>
      </c>
      <c r="C348" s="4">
        <v>774.35</v>
      </c>
      <c r="D348" s="2" t="s">
        <v>117</v>
      </c>
      <c r="E348" s="3" t="str">
        <f>HYPERLINK("https://springer.com/40942")</f>
        <v>https://springer.com/40942</v>
      </c>
      <c r="F348" s="2" t="s">
        <v>726</v>
      </c>
    </row>
    <row r="349" spans="1:6" ht="12.75" customHeight="1" x14ac:dyDescent="0.3">
      <c r="A349" s="2" t="s">
        <v>727</v>
      </c>
      <c r="B349" s="2" t="s">
        <v>16</v>
      </c>
      <c r="C349" s="4">
        <v>2305.27</v>
      </c>
      <c r="D349" s="2" t="s">
        <v>7</v>
      </c>
      <c r="E349" s="3" t="str">
        <f>HYPERLINK("https://springer.com/40948")</f>
        <v>https://springer.com/40948</v>
      </c>
      <c r="F349" s="2" t="s">
        <v>728</v>
      </c>
    </row>
    <row r="350" spans="1:6" ht="12.75" customHeight="1" x14ac:dyDescent="0.3">
      <c r="A350" s="2" t="s">
        <v>729</v>
      </c>
      <c r="B350" s="2" t="s">
        <v>68</v>
      </c>
      <c r="C350" s="4">
        <v>1099.8399999999999</v>
      </c>
      <c r="D350" s="2" t="s">
        <v>7</v>
      </c>
      <c r="E350" s="3" t="str">
        <f>HYPERLINK("https://springer.com/40955")</f>
        <v>https://springer.com/40955</v>
      </c>
      <c r="F350" s="2" t="s">
        <v>730</v>
      </c>
    </row>
    <row r="351" spans="1:6" ht="12.75" customHeight="1" x14ac:dyDescent="0.3">
      <c r="A351" s="2" t="s">
        <v>731</v>
      </c>
      <c r="B351" s="2" t="s">
        <v>19</v>
      </c>
      <c r="C351" s="4">
        <v>1765.07</v>
      </c>
      <c r="D351" s="2" t="s">
        <v>7</v>
      </c>
      <c r="E351" s="3" t="str">
        <f>HYPERLINK("https://springer.com/40959")</f>
        <v>https://springer.com/40959</v>
      </c>
      <c r="F351" s="2" t="s">
        <v>732</v>
      </c>
    </row>
    <row r="352" spans="1:6" ht="12.75" customHeight="1" x14ac:dyDescent="0.3">
      <c r="A352" s="2" t="s">
        <v>733</v>
      </c>
      <c r="B352" s="2" t="s">
        <v>68</v>
      </c>
      <c r="C352" s="4">
        <v>551.07000000000005</v>
      </c>
      <c r="D352" s="2" t="s">
        <v>7</v>
      </c>
      <c r="E352" s="3" t="str">
        <f>HYPERLINK("https://springer.com/40979")</f>
        <v>https://springer.com/40979</v>
      </c>
      <c r="F352" s="2" t="s">
        <v>734</v>
      </c>
    </row>
    <row r="353" spans="1:6" ht="12.75" customHeight="1" x14ac:dyDescent="0.3">
      <c r="A353" s="2" t="s">
        <v>735</v>
      </c>
      <c r="B353" s="2" t="s">
        <v>19</v>
      </c>
      <c r="C353" s="4">
        <v>1187.67</v>
      </c>
      <c r="D353" s="2" t="s">
        <v>7</v>
      </c>
      <c r="E353" s="3" t="str">
        <f>HYPERLINK("https://springer.com/40981")</f>
        <v>https://springer.com/40981</v>
      </c>
      <c r="F353" s="2" t="s">
        <v>736</v>
      </c>
    </row>
    <row r="354" spans="1:6" ht="12.75" customHeight="1" x14ac:dyDescent="0.3">
      <c r="A354" s="2" t="s">
        <v>737</v>
      </c>
      <c r="B354" s="2" t="s">
        <v>24</v>
      </c>
      <c r="C354" s="4">
        <v>655.58</v>
      </c>
      <c r="D354" s="2" t="s">
        <v>7</v>
      </c>
      <c r="E354" s="3" t="str">
        <f>HYPERLINK("https://springer.com/40991")</f>
        <v>https://springer.com/40991</v>
      </c>
      <c r="F354" s="2" t="s">
        <v>738</v>
      </c>
    </row>
    <row r="355" spans="1:6" ht="12.75" customHeight="1" x14ac:dyDescent="0.3">
      <c r="A355" s="2" t="s">
        <v>739</v>
      </c>
      <c r="B355" s="2" t="s">
        <v>34</v>
      </c>
      <c r="C355" s="4">
        <v>532.44000000000005</v>
      </c>
      <c r="D355" s="2" t="s">
        <v>7</v>
      </c>
      <c r="E355" s="3" t="str">
        <f>HYPERLINK("https://springer.com/41018")</f>
        <v>https://springer.com/41018</v>
      </c>
      <c r="F355" s="2" t="s">
        <v>740</v>
      </c>
    </row>
    <row r="356" spans="1:6" ht="12.75" customHeight="1" x14ac:dyDescent="0.3">
      <c r="A356" s="2" t="s">
        <v>741</v>
      </c>
      <c r="B356" s="2" t="s">
        <v>17</v>
      </c>
      <c r="C356" s="4">
        <v>912</v>
      </c>
      <c r="D356" s="2" t="s">
        <v>7</v>
      </c>
      <c r="E356" s="3" t="str">
        <f>HYPERLINK("https://springer.com/41019")</f>
        <v>https://springer.com/41019</v>
      </c>
      <c r="F356" s="2" t="s">
        <v>742</v>
      </c>
    </row>
    <row r="357" spans="1:6" ht="12.75" customHeight="1" x14ac:dyDescent="0.3">
      <c r="A357" s="2" t="s">
        <v>743</v>
      </c>
      <c r="B357" s="2" t="s">
        <v>10</v>
      </c>
      <c r="C357" s="4">
        <v>1705.38</v>
      </c>
      <c r="D357" s="2" t="s">
        <v>117</v>
      </c>
      <c r="E357" s="3" t="str">
        <f>HYPERLINK("https://springer.com/41021")</f>
        <v>https://springer.com/41021</v>
      </c>
      <c r="F357" s="2" t="s">
        <v>744</v>
      </c>
    </row>
    <row r="358" spans="1:6" ht="12.75" customHeight="1" x14ac:dyDescent="0.3">
      <c r="A358" s="2" t="s">
        <v>745</v>
      </c>
      <c r="B358" s="2" t="s">
        <v>19</v>
      </c>
      <c r="C358" s="4">
        <v>1700.76</v>
      </c>
      <c r="D358" s="2" t="s">
        <v>7</v>
      </c>
      <c r="E358" s="3" t="str">
        <f>HYPERLINK("https://springer.com/41043")</f>
        <v>https://springer.com/41043</v>
      </c>
      <c r="F358" s="2" t="s">
        <v>746</v>
      </c>
    </row>
    <row r="359" spans="1:6" ht="12.75" customHeight="1" x14ac:dyDescent="0.3">
      <c r="A359" s="2" t="s">
        <v>747</v>
      </c>
      <c r="B359" s="2" t="s">
        <v>6</v>
      </c>
      <c r="C359" s="4">
        <v>1491.72</v>
      </c>
      <c r="D359" s="2" t="s">
        <v>117</v>
      </c>
      <c r="E359" s="3" t="str">
        <f>HYPERLINK("https://springer.com/41065")</f>
        <v>https://springer.com/41065</v>
      </c>
      <c r="F359" s="2" t="s">
        <v>748</v>
      </c>
    </row>
    <row r="360" spans="1:6" ht="12.75" customHeight="1" x14ac:dyDescent="0.3">
      <c r="A360" s="2" t="s">
        <v>749</v>
      </c>
      <c r="B360" s="2" t="s">
        <v>24</v>
      </c>
      <c r="C360" s="4">
        <v>617.58000000000004</v>
      </c>
      <c r="D360" s="2" t="s">
        <v>7</v>
      </c>
      <c r="E360" s="3" t="str">
        <f>HYPERLINK("https://springer.com/41072")</f>
        <v>https://springer.com/41072</v>
      </c>
      <c r="F360" s="2" t="s">
        <v>750</v>
      </c>
    </row>
    <row r="361" spans="1:6" ht="12.75" customHeight="1" x14ac:dyDescent="0.3">
      <c r="A361" s="2" t="s">
        <v>751</v>
      </c>
      <c r="B361" s="2" t="s">
        <v>76</v>
      </c>
      <c r="C361" s="4">
        <v>1498.98</v>
      </c>
      <c r="D361" s="2" t="s">
        <v>7</v>
      </c>
      <c r="E361" s="3" t="str">
        <f>HYPERLINK("https://springer.com/41073")</f>
        <v>https://springer.com/41073</v>
      </c>
      <c r="F361" s="2" t="s">
        <v>752</v>
      </c>
    </row>
    <row r="362" spans="1:6" ht="12.75" customHeight="1" x14ac:dyDescent="0.3">
      <c r="A362" s="2" t="s">
        <v>753</v>
      </c>
      <c r="B362" s="2" t="s">
        <v>19</v>
      </c>
      <c r="C362" s="4">
        <v>1791.08</v>
      </c>
      <c r="D362" s="2" t="s">
        <v>117</v>
      </c>
      <c r="E362" s="3" t="str">
        <f>HYPERLINK("https://springer.com/41077")</f>
        <v>https://springer.com/41077</v>
      </c>
      <c r="F362" s="2" t="s">
        <v>754</v>
      </c>
    </row>
    <row r="363" spans="1:6" ht="12.75" customHeight="1" x14ac:dyDescent="0.3">
      <c r="A363" s="2" t="s">
        <v>755</v>
      </c>
      <c r="B363" s="2" t="s">
        <v>16</v>
      </c>
      <c r="C363" s="4">
        <v>1896.12</v>
      </c>
      <c r="D363" s="2" t="s">
        <v>7</v>
      </c>
      <c r="E363" s="3" t="str">
        <f>HYPERLINK("https://springer.com/41104")</f>
        <v>https://springer.com/41104</v>
      </c>
      <c r="F363" s="2" t="s">
        <v>756</v>
      </c>
    </row>
    <row r="364" spans="1:6" ht="12.75" customHeight="1" x14ac:dyDescent="0.3">
      <c r="A364" s="2" t="s">
        <v>757</v>
      </c>
      <c r="B364" s="2" t="s">
        <v>17</v>
      </c>
      <c r="C364" s="4">
        <v>908.82</v>
      </c>
      <c r="D364" s="2" t="s">
        <v>7</v>
      </c>
      <c r="E364" s="3" t="str">
        <f>HYPERLINK("https://springer.com/41109")</f>
        <v>https://springer.com/41109</v>
      </c>
      <c r="F364" s="2" t="s">
        <v>758</v>
      </c>
    </row>
    <row r="365" spans="1:6" ht="12.75" customHeight="1" x14ac:dyDescent="0.3">
      <c r="A365" s="2" t="s">
        <v>759</v>
      </c>
      <c r="B365" s="2" t="s">
        <v>73</v>
      </c>
      <c r="C365" s="4">
        <v>934.1</v>
      </c>
      <c r="D365" s="2" t="s">
        <v>7</v>
      </c>
      <c r="E365" s="3" t="str">
        <f>HYPERLINK("https://springer.com/41118")</f>
        <v>https://springer.com/41118</v>
      </c>
      <c r="F365" s="2" t="s">
        <v>760</v>
      </c>
    </row>
    <row r="366" spans="1:6" ht="12.75" customHeight="1" x14ac:dyDescent="0.3">
      <c r="A366" s="2" t="s">
        <v>761</v>
      </c>
      <c r="B366" s="2" t="s">
        <v>10</v>
      </c>
      <c r="C366" s="4">
        <v>1184.23</v>
      </c>
      <c r="D366" s="2" t="s">
        <v>7</v>
      </c>
      <c r="E366" s="3" t="str">
        <f>HYPERLINK("https://springer.com/41120")</f>
        <v>https://springer.com/41120</v>
      </c>
      <c r="F366" s="2" t="s">
        <v>762</v>
      </c>
    </row>
    <row r="367" spans="1:6" ht="12.75" customHeight="1" x14ac:dyDescent="0.3">
      <c r="A367" s="2" t="s">
        <v>763</v>
      </c>
      <c r="B367" s="2" t="s">
        <v>42</v>
      </c>
      <c r="C367" s="4">
        <v>798.1</v>
      </c>
      <c r="D367" s="2" t="s">
        <v>7</v>
      </c>
      <c r="E367" s="3" t="str">
        <f>HYPERLINK("https://springer.com/41155")</f>
        <v>https://springer.com/41155</v>
      </c>
      <c r="F367" s="2" t="s">
        <v>764</v>
      </c>
    </row>
    <row r="368" spans="1:6" ht="12.75" customHeight="1" x14ac:dyDescent="0.3">
      <c r="A368" s="2" t="s">
        <v>765</v>
      </c>
      <c r="B368" s="2" t="s">
        <v>19</v>
      </c>
      <c r="C368" s="4">
        <v>1168.6600000000001</v>
      </c>
      <c r="D368" s="2" t="s">
        <v>7</v>
      </c>
      <c r="E368" s="3" t="str">
        <f>HYPERLINK("https://springer.com/41181")</f>
        <v>https://springer.com/41181</v>
      </c>
      <c r="F368" s="2" t="s">
        <v>766</v>
      </c>
    </row>
    <row r="369" spans="1:6" ht="12.75" customHeight="1" x14ac:dyDescent="0.3">
      <c r="A369" s="2" t="s">
        <v>767</v>
      </c>
      <c r="B369" s="2" t="s">
        <v>19</v>
      </c>
      <c r="C369" s="4">
        <v>1776.76</v>
      </c>
      <c r="D369" s="2" t="s">
        <v>7</v>
      </c>
      <c r="E369" s="3" t="str">
        <f>HYPERLINK("https://springer.com/41182")</f>
        <v>https://springer.com/41182</v>
      </c>
      <c r="F369" s="2" t="s">
        <v>768</v>
      </c>
    </row>
    <row r="370" spans="1:6" ht="12.75" customHeight="1" x14ac:dyDescent="0.3">
      <c r="A370" s="2" t="s">
        <v>769</v>
      </c>
      <c r="B370" s="2" t="s">
        <v>19</v>
      </c>
      <c r="C370" s="4">
        <v>1276.03</v>
      </c>
      <c r="D370" s="2" t="s">
        <v>7</v>
      </c>
      <c r="E370" s="3" t="str">
        <f>HYPERLINK("https://springer.com/41205")</f>
        <v>https://springer.com/41205</v>
      </c>
      <c r="F370" s="2" t="s">
        <v>770</v>
      </c>
    </row>
    <row r="371" spans="1:6" ht="12.75" customHeight="1" x14ac:dyDescent="0.3">
      <c r="A371" s="2" t="s">
        <v>771</v>
      </c>
      <c r="B371" s="2" t="s">
        <v>10</v>
      </c>
      <c r="C371" s="4">
        <v>950.13</v>
      </c>
      <c r="D371" s="2" t="s">
        <v>7</v>
      </c>
      <c r="E371" s="3" t="str">
        <f>HYPERLINK("https://springer.com/41232")</f>
        <v>https://springer.com/41232</v>
      </c>
      <c r="F371" s="2" t="s">
        <v>772</v>
      </c>
    </row>
    <row r="372" spans="1:6" ht="12.75" customHeight="1" x14ac:dyDescent="0.3">
      <c r="A372" s="2" t="s">
        <v>773</v>
      </c>
      <c r="B372" s="2" t="s">
        <v>42</v>
      </c>
      <c r="C372" s="4">
        <v>1092.42</v>
      </c>
      <c r="D372" s="2" t="s">
        <v>7</v>
      </c>
      <c r="E372" s="3" t="str">
        <f>HYPERLINK("https://springer.com/41235")</f>
        <v>https://springer.com/41235</v>
      </c>
      <c r="F372" s="2" t="s">
        <v>774</v>
      </c>
    </row>
    <row r="373" spans="1:6" ht="12.75" customHeight="1" x14ac:dyDescent="0.3">
      <c r="A373" s="2" t="s">
        <v>775</v>
      </c>
      <c r="B373" s="2" t="s">
        <v>19</v>
      </c>
      <c r="C373" s="4">
        <v>1144.19</v>
      </c>
      <c r="D373" s="2" t="s">
        <v>7</v>
      </c>
      <c r="E373" s="3" t="str">
        <f>HYPERLINK("https://springer.com/41256")</f>
        <v>https://springer.com/41256</v>
      </c>
      <c r="F373" s="2" t="s">
        <v>776</v>
      </c>
    </row>
    <row r="374" spans="1:6" ht="12.75" customHeight="1" x14ac:dyDescent="0.3">
      <c r="A374" s="2" t="s">
        <v>777</v>
      </c>
      <c r="B374" s="2" t="s">
        <v>37</v>
      </c>
      <c r="C374" s="4">
        <v>940.63</v>
      </c>
      <c r="D374" s="2" t="s">
        <v>7</v>
      </c>
      <c r="E374" s="3" t="str">
        <f>HYPERLINK("https://springer.com/41313")</f>
        <v>https://springer.com/41313</v>
      </c>
      <c r="F374" s="2" t="s">
        <v>778</v>
      </c>
    </row>
    <row r="375" spans="1:6" ht="12.75" customHeight="1" x14ac:dyDescent="0.3">
      <c r="A375" s="2" t="s">
        <v>779</v>
      </c>
      <c r="B375" s="2" t="s">
        <v>16</v>
      </c>
      <c r="C375" s="4">
        <v>2312</v>
      </c>
      <c r="D375" s="2" t="s">
        <v>7</v>
      </c>
      <c r="E375" s="3" t="str">
        <f>HYPERLINK("https://springer.com/41314")</f>
        <v>https://springer.com/41314</v>
      </c>
      <c r="F375" s="2" t="s">
        <v>780</v>
      </c>
    </row>
    <row r="376" spans="1:6" ht="12.75" customHeight="1" x14ac:dyDescent="0.3">
      <c r="A376" s="2" t="s">
        <v>781</v>
      </c>
      <c r="B376" s="2" t="s">
        <v>20</v>
      </c>
      <c r="C376" s="4">
        <v>2826.67</v>
      </c>
      <c r="D376" s="2" t="s">
        <v>7</v>
      </c>
      <c r="E376" s="3" t="str">
        <f>HYPERLINK("https://springer.com/41368")</f>
        <v>https://springer.com/41368</v>
      </c>
      <c r="F376" s="2" t="s">
        <v>782</v>
      </c>
    </row>
    <row r="377" spans="1:6" ht="12.75" customHeight="1" x14ac:dyDescent="0.3">
      <c r="A377" s="2" t="s">
        <v>783</v>
      </c>
      <c r="B377" s="2" t="s">
        <v>9</v>
      </c>
      <c r="C377" s="4">
        <v>3090</v>
      </c>
      <c r="D377" s="2" t="s">
        <v>7</v>
      </c>
      <c r="E377" s="3" t="str">
        <f>HYPERLINK("https://springer.com/41377")</f>
        <v>https://springer.com/41377</v>
      </c>
      <c r="F377" s="2" t="s">
        <v>784</v>
      </c>
    </row>
    <row r="378" spans="1:6" ht="12.75" customHeight="1" x14ac:dyDescent="0.3">
      <c r="A378" s="2" t="s">
        <v>785</v>
      </c>
      <c r="B378" s="2" t="s">
        <v>16</v>
      </c>
      <c r="C378" s="4">
        <v>3190</v>
      </c>
      <c r="D378" s="2" t="s">
        <v>7</v>
      </c>
      <c r="E378" s="3" t="str">
        <f>HYPERLINK("https://springer.com/41378")</f>
        <v>https://springer.com/41378</v>
      </c>
      <c r="F378" s="2" t="s">
        <v>786</v>
      </c>
    </row>
    <row r="379" spans="1:6" ht="12.75" customHeight="1" x14ac:dyDescent="0.3">
      <c r="A379" s="2" t="s">
        <v>787</v>
      </c>
      <c r="B379" s="2" t="s">
        <v>19</v>
      </c>
      <c r="C379" s="4">
        <v>2826.67</v>
      </c>
      <c r="D379" s="2" t="s">
        <v>7</v>
      </c>
      <c r="E379" s="3" t="str">
        <f>HYPERLINK("https://springer.com/41387")</f>
        <v>https://springer.com/41387</v>
      </c>
      <c r="F379" s="2" t="s">
        <v>788</v>
      </c>
    </row>
    <row r="380" spans="1:6" ht="12.75" customHeight="1" x14ac:dyDescent="0.3">
      <c r="A380" s="2" t="s">
        <v>789</v>
      </c>
      <c r="B380" s="2" t="s">
        <v>19</v>
      </c>
      <c r="C380" s="4">
        <v>3392.66</v>
      </c>
      <c r="D380" s="2" t="s">
        <v>7</v>
      </c>
      <c r="E380" s="3" t="str">
        <f>HYPERLINK("https://springer.com/41389")</f>
        <v>https://springer.com/41389</v>
      </c>
      <c r="F380" s="2" t="s">
        <v>790</v>
      </c>
    </row>
    <row r="381" spans="1:6" ht="12.75" customHeight="1" x14ac:dyDescent="0.3">
      <c r="A381" s="2" t="s">
        <v>791</v>
      </c>
      <c r="B381" s="2" t="s">
        <v>19</v>
      </c>
      <c r="C381" s="4">
        <v>2576.17</v>
      </c>
      <c r="D381" s="2" t="s">
        <v>7</v>
      </c>
      <c r="E381" s="3" t="str">
        <f>HYPERLINK("https://springer.com/41392")</f>
        <v>https://springer.com/41392</v>
      </c>
      <c r="F381" s="2" t="s">
        <v>792</v>
      </c>
    </row>
    <row r="382" spans="1:6" ht="12.75" customHeight="1" x14ac:dyDescent="0.3">
      <c r="A382" s="2" t="s">
        <v>793</v>
      </c>
      <c r="B382" s="2" t="s">
        <v>19</v>
      </c>
      <c r="C382" s="4">
        <v>3634.29</v>
      </c>
      <c r="D382" s="2" t="s">
        <v>7</v>
      </c>
      <c r="E382" s="3" t="str">
        <f>HYPERLINK("https://springer.com/41398")</f>
        <v>https://springer.com/41398</v>
      </c>
      <c r="F382" s="2" t="s">
        <v>794</v>
      </c>
    </row>
    <row r="383" spans="1:6" ht="12.75" customHeight="1" x14ac:dyDescent="0.3">
      <c r="A383" s="2" t="s">
        <v>795</v>
      </c>
      <c r="B383" s="2" t="s">
        <v>20</v>
      </c>
      <c r="C383" s="4">
        <v>2577.25</v>
      </c>
      <c r="D383" s="2" t="s">
        <v>7</v>
      </c>
      <c r="E383" s="3" t="str">
        <f>HYPERLINK("https://springer.com/41405")</f>
        <v>https://springer.com/41405</v>
      </c>
      <c r="F383" s="2" t="s">
        <v>796</v>
      </c>
    </row>
    <row r="384" spans="1:6" ht="12.75" customHeight="1" x14ac:dyDescent="0.3">
      <c r="A384" s="2" t="s">
        <v>797</v>
      </c>
      <c r="B384" s="2" t="s">
        <v>10</v>
      </c>
      <c r="C384" s="4">
        <v>4026.15</v>
      </c>
      <c r="D384" s="2" t="s">
        <v>7</v>
      </c>
      <c r="E384" s="3" t="str">
        <f>HYPERLINK("https://springer.com/41408")</f>
        <v>https://springer.com/41408</v>
      </c>
      <c r="F384" s="2" t="s">
        <v>798</v>
      </c>
    </row>
    <row r="385" spans="1:6" ht="12.75" customHeight="1" x14ac:dyDescent="0.3">
      <c r="A385" s="2" t="s">
        <v>799</v>
      </c>
      <c r="B385" s="2" t="s">
        <v>19</v>
      </c>
      <c r="C385" s="4">
        <v>2577.25</v>
      </c>
      <c r="D385" s="2" t="s">
        <v>7</v>
      </c>
      <c r="E385" s="3" t="str">
        <f>HYPERLINK("https://springer.com/41413")</f>
        <v>https://springer.com/41413</v>
      </c>
      <c r="F385" s="2" t="s">
        <v>800</v>
      </c>
    </row>
    <row r="386" spans="1:6" ht="12.75" customHeight="1" x14ac:dyDescent="0.3">
      <c r="A386" s="2" t="s">
        <v>801</v>
      </c>
      <c r="B386" s="2" t="s">
        <v>6</v>
      </c>
      <c r="C386" s="4">
        <v>3758.55</v>
      </c>
      <c r="D386" s="2" t="s">
        <v>7</v>
      </c>
      <c r="E386" s="3" t="str">
        <f>HYPERLINK("https://springer.com/41419")</f>
        <v>https://springer.com/41419</v>
      </c>
      <c r="F386" s="2" t="s">
        <v>802</v>
      </c>
    </row>
    <row r="387" spans="1:6" ht="12.75" customHeight="1" x14ac:dyDescent="0.3">
      <c r="A387" s="2" t="s">
        <v>803</v>
      </c>
      <c r="B387" s="2" t="s">
        <v>6</v>
      </c>
      <c r="C387" s="4">
        <v>1864.65</v>
      </c>
      <c r="D387" s="2" t="s">
        <v>7</v>
      </c>
      <c r="E387" s="3" t="str">
        <f>HYPERLINK("https://springer.com/41420")</f>
        <v>https://springer.com/41420</v>
      </c>
      <c r="F387" s="2" t="s">
        <v>804</v>
      </c>
    </row>
    <row r="388" spans="1:6" ht="12.75" customHeight="1" x14ac:dyDescent="0.3">
      <c r="A388" s="2" t="s">
        <v>805</v>
      </c>
      <c r="B388" s="2" t="s">
        <v>6</v>
      </c>
      <c r="C388" s="4">
        <v>2731.09</v>
      </c>
      <c r="D388" s="2" t="s">
        <v>7</v>
      </c>
      <c r="E388" s="3" t="str">
        <f>HYPERLINK("https://springer.com/41421")</f>
        <v>https://springer.com/41421</v>
      </c>
      <c r="F388" s="2" t="s">
        <v>806</v>
      </c>
    </row>
    <row r="389" spans="1:6" ht="12.75" customHeight="1" x14ac:dyDescent="0.3">
      <c r="A389" s="2" t="s">
        <v>807</v>
      </c>
      <c r="B389" s="2" t="s">
        <v>37</v>
      </c>
      <c r="C389" s="4">
        <v>3637.64</v>
      </c>
      <c r="D389" s="2" t="s">
        <v>7</v>
      </c>
      <c r="E389" s="3" t="str">
        <f>HYPERLINK("https://springer.com/41427")</f>
        <v>https://springer.com/41427</v>
      </c>
      <c r="F389" s="2" t="s">
        <v>808</v>
      </c>
    </row>
    <row r="390" spans="1:6" ht="12.75" customHeight="1" x14ac:dyDescent="0.3">
      <c r="A390" s="2" t="s">
        <v>809</v>
      </c>
      <c r="B390" s="2" t="s">
        <v>10</v>
      </c>
      <c r="C390" s="4">
        <v>2220.96</v>
      </c>
      <c r="D390" s="2" t="s">
        <v>7</v>
      </c>
      <c r="E390" s="3" t="str">
        <f>HYPERLINK("https://springer.com/41439")</f>
        <v>https://springer.com/41439</v>
      </c>
      <c r="F390" s="2" t="s">
        <v>810</v>
      </c>
    </row>
    <row r="391" spans="1:6" ht="12.75" customHeight="1" x14ac:dyDescent="0.3">
      <c r="A391" s="2" t="s">
        <v>811</v>
      </c>
      <c r="B391" s="2" t="s">
        <v>552</v>
      </c>
      <c r="C391" s="4">
        <v>5198.26</v>
      </c>
      <c r="D391" s="2" t="s">
        <v>7</v>
      </c>
      <c r="E391" s="3" t="str">
        <f>HYPERLINK("https://springer.com/41467")</f>
        <v>https://springer.com/41467</v>
      </c>
      <c r="F391" s="2" t="s">
        <v>812</v>
      </c>
    </row>
    <row r="392" spans="1:6" ht="12.75" customHeight="1" x14ac:dyDescent="0.3">
      <c r="A392" s="2" t="s">
        <v>813</v>
      </c>
      <c r="B392" s="2" t="s">
        <v>19</v>
      </c>
      <c r="C392" s="4">
        <v>1676.37</v>
      </c>
      <c r="D392" s="2" t="s">
        <v>7</v>
      </c>
      <c r="E392" s="3" t="str">
        <f>HYPERLINK("https://springer.com/41479")</f>
        <v>https://springer.com/41479</v>
      </c>
      <c r="F392" s="2" t="s">
        <v>814</v>
      </c>
    </row>
    <row r="393" spans="1:6" ht="12.75" customHeight="1" x14ac:dyDescent="0.3">
      <c r="A393" s="2" t="s">
        <v>815</v>
      </c>
      <c r="B393" s="2" t="s">
        <v>19</v>
      </c>
      <c r="C393" s="4">
        <v>1676.37</v>
      </c>
      <c r="D393" s="2" t="s">
        <v>7</v>
      </c>
      <c r="E393" s="3" t="str">
        <f>HYPERLINK("https://springer.com/41512")</f>
        <v>https://springer.com/41512</v>
      </c>
      <c r="F393" s="2" t="s">
        <v>816</v>
      </c>
    </row>
    <row r="394" spans="1:6" ht="12.75" customHeight="1" x14ac:dyDescent="0.3">
      <c r="A394" s="2" t="s">
        <v>817</v>
      </c>
      <c r="B394" s="2" t="s">
        <v>10</v>
      </c>
      <c r="C394" s="4">
        <v>2649.82</v>
      </c>
      <c r="D394" s="2" t="s">
        <v>7</v>
      </c>
      <c r="E394" s="3" t="str">
        <f>HYPERLINK("https://springer.com/41514")</f>
        <v>https://springer.com/41514</v>
      </c>
      <c r="F394" s="2" t="s">
        <v>818</v>
      </c>
    </row>
    <row r="395" spans="1:6" ht="12.75" customHeight="1" x14ac:dyDescent="0.3">
      <c r="A395" s="2" t="s">
        <v>819</v>
      </c>
      <c r="B395" s="2" t="s">
        <v>6</v>
      </c>
      <c r="C395" s="4">
        <v>3182.98</v>
      </c>
      <c r="D395" s="2" t="s">
        <v>7</v>
      </c>
      <c r="E395" s="3" t="str">
        <f>HYPERLINK("https://springer.com/41522")</f>
        <v>https://springer.com/41522</v>
      </c>
      <c r="F395" s="2" t="s">
        <v>820</v>
      </c>
    </row>
    <row r="396" spans="1:6" ht="12.75" customHeight="1" x14ac:dyDescent="0.3">
      <c r="A396" s="2" t="s">
        <v>821</v>
      </c>
      <c r="B396" s="2" t="s">
        <v>10</v>
      </c>
      <c r="C396" s="4">
        <v>2957.32</v>
      </c>
      <c r="D396" s="2" t="s">
        <v>7</v>
      </c>
      <c r="E396" s="3" t="str">
        <f>HYPERLINK("https://springer.com/41523")</f>
        <v>https://springer.com/41523</v>
      </c>
      <c r="F396" s="2" t="s">
        <v>822</v>
      </c>
    </row>
    <row r="397" spans="1:6" ht="12.75" customHeight="1" x14ac:dyDescent="0.3">
      <c r="A397" s="2" t="s">
        <v>823</v>
      </c>
      <c r="B397" s="2" t="s">
        <v>37</v>
      </c>
      <c r="C397" s="4">
        <v>2577.25</v>
      </c>
      <c r="D397" s="2" t="s">
        <v>7</v>
      </c>
      <c r="E397" s="3" t="str">
        <f>HYPERLINK("https://springer.com/41524")</f>
        <v>https://springer.com/41524</v>
      </c>
      <c r="F397" s="2" t="s">
        <v>824</v>
      </c>
    </row>
    <row r="398" spans="1:6" ht="12.75" customHeight="1" x14ac:dyDescent="0.3">
      <c r="A398" s="2" t="s">
        <v>825</v>
      </c>
      <c r="B398" s="2" t="s">
        <v>10</v>
      </c>
      <c r="C398" s="4">
        <v>3182.98</v>
      </c>
      <c r="D398" s="2" t="s">
        <v>7</v>
      </c>
      <c r="E398" s="3" t="str">
        <f>HYPERLINK("https://springer.com/41525")</f>
        <v>https://springer.com/41525</v>
      </c>
      <c r="F398" s="2" t="s">
        <v>826</v>
      </c>
    </row>
    <row r="399" spans="1:6" ht="12.75" customHeight="1" x14ac:dyDescent="0.3">
      <c r="A399" s="2" t="s">
        <v>827</v>
      </c>
      <c r="B399" s="2" t="s">
        <v>6</v>
      </c>
      <c r="C399" s="4">
        <v>2871.57</v>
      </c>
      <c r="D399" s="2" t="s">
        <v>7</v>
      </c>
      <c r="E399" s="3" t="str">
        <f>HYPERLINK("https://springer.com/41526")</f>
        <v>https://springer.com/41526</v>
      </c>
      <c r="F399" s="2" t="s">
        <v>828</v>
      </c>
    </row>
    <row r="400" spans="1:6" ht="12.75" customHeight="1" x14ac:dyDescent="0.3">
      <c r="A400" s="2" t="s">
        <v>829</v>
      </c>
      <c r="B400" s="2" t="s">
        <v>37</v>
      </c>
      <c r="C400" s="4">
        <v>2972.07</v>
      </c>
      <c r="D400" s="2" t="s">
        <v>7</v>
      </c>
      <c r="E400" s="3" t="str">
        <f>HYPERLINK("https://springer.com/41528")</f>
        <v>https://springer.com/41528</v>
      </c>
      <c r="F400" s="2" t="s">
        <v>830</v>
      </c>
    </row>
    <row r="401" spans="1:6" ht="12.75" customHeight="1" x14ac:dyDescent="0.3">
      <c r="A401" s="2" t="s">
        <v>831</v>
      </c>
      <c r="B401" s="2" t="s">
        <v>37</v>
      </c>
      <c r="C401" s="4">
        <v>1939.31</v>
      </c>
      <c r="D401" s="2" t="s">
        <v>7</v>
      </c>
      <c r="E401" s="3" t="str">
        <f>HYPERLINK("https://springer.com/41529")</f>
        <v>https://springer.com/41529</v>
      </c>
      <c r="F401" s="2" t="s">
        <v>832</v>
      </c>
    </row>
    <row r="402" spans="1:6" ht="12.75" customHeight="1" x14ac:dyDescent="0.3">
      <c r="A402" s="2" t="s">
        <v>833</v>
      </c>
      <c r="B402" s="2" t="s">
        <v>10</v>
      </c>
      <c r="C402" s="4">
        <v>2719.78</v>
      </c>
      <c r="D402" s="2" t="s">
        <v>7</v>
      </c>
      <c r="E402" s="3" t="str">
        <f>HYPERLINK("https://springer.com/41531")</f>
        <v>https://springer.com/41531</v>
      </c>
      <c r="F402" s="2" t="s">
        <v>834</v>
      </c>
    </row>
    <row r="403" spans="1:6" ht="12.75" customHeight="1" x14ac:dyDescent="0.3">
      <c r="A403" s="2" t="s">
        <v>835</v>
      </c>
      <c r="B403" s="2" t="s">
        <v>19</v>
      </c>
      <c r="C403" s="4">
        <v>2719.78</v>
      </c>
      <c r="D403" s="2" t="s">
        <v>7</v>
      </c>
      <c r="E403" s="3" t="str">
        <f>HYPERLINK("https://springer.com/41533")</f>
        <v>https://springer.com/41533</v>
      </c>
      <c r="F403" s="2" t="s">
        <v>836</v>
      </c>
    </row>
    <row r="404" spans="1:6" ht="12.75" customHeight="1" x14ac:dyDescent="0.3">
      <c r="A404" s="2" t="s">
        <v>837</v>
      </c>
      <c r="B404" s="2" t="s">
        <v>9</v>
      </c>
      <c r="C404" s="4">
        <v>3310.08</v>
      </c>
      <c r="D404" s="2" t="s">
        <v>7</v>
      </c>
      <c r="E404" s="3" t="str">
        <f>HYPERLINK("https://springer.com/41534")</f>
        <v>https://springer.com/41534</v>
      </c>
      <c r="F404" s="2" t="s">
        <v>838</v>
      </c>
    </row>
    <row r="405" spans="1:6" ht="12.75" customHeight="1" x14ac:dyDescent="0.3">
      <c r="A405" s="2" t="s">
        <v>839</v>
      </c>
      <c r="B405" s="2" t="s">
        <v>9</v>
      </c>
      <c r="C405" s="4">
        <v>2007.18</v>
      </c>
      <c r="D405" s="2" t="s">
        <v>7</v>
      </c>
      <c r="E405" s="3" t="str">
        <f>HYPERLINK("https://springer.com/41535")</f>
        <v>https://springer.com/41535</v>
      </c>
      <c r="F405" s="2" t="s">
        <v>840</v>
      </c>
    </row>
    <row r="406" spans="1:6" ht="12.75" customHeight="1" x14ac:dyDescent="0.3">
      <c r="A406" s="2" t="s">
        <v>841</v>
      </c>
      <c r="B406" s="2" t="s">
        <v>10</v>
      </c>
      <c r="C406" s="4">
        <v>3182.98</v>
      </c>
      <c r="D406" s="2" t="s">
        <v>7</v>
      </c>
      <c r="E406" s="3" t="str">
        <f>HYPERLINK("https://springer.com/41536")</f>
        <v>https://springer.com/41536</v>
      </c>
      <c r="F406" s="2" t="s">
        <v>842</v>
      </c>
    </row>
    <row r="407" spans="1:6" ht="12.75" customHeight="1" x14ac:dyDescent="0.3">
      <c r="A407" s="2" t="s">
        <v>843</v>
      </c>
      <c r="B407" s="2" t="s">
        <v>19</v>
      </c>
      <c r="C407" s="4">
        <v>3094.65</v>
      </c>
      <c r="D407" s="2" t="s">
        <v>7</v>
      </c>
      <c r="E407" s="3" t="str">
        <f>HYPERLINK("https://springer.com/41537")</f>
        <v>https://springer.com/41537</v>
      </c>
      <c r="F407" s="2" t="s">
        <v>844</v>
      </c>
    </row>
    <row r="408" spans="1:6" ht="12.75" customHeight="1" x14ac:dyDescent="0.3">
      <c r="A408" s="2" t="s">
        <v>845</v>
      </c>
      <c r="B408" s="2" t="s">
        <v>25</v>
      </c>
      <c r="C408" s="4">
        <v>2007.18</v>
      </c>
      <c r="D408" s="2" t="s">
        <v>7</v>
      </c>
      <c r="E408" s="3" t="str">
        <f>HYPERLINK("https://springer.com/41538")</f>
        <v>https://springer.com/41538</v>
      </c>
      <c r="F408" s="2" t="s">
        <v>846</v>
      </c>
    </row>
    <row r="409" spans="1:6" ht="12.75" customHeight="1" x14ac:dyDescent="0.3">
      <c r="A409" s="2" t="s">
        <v>847</v>
      </c>
      <c r="B409" s="2" t="s">
        <v>6</v>
      </c>
      <c r="C409" s="4">
        <v>2007.18</v>
      </c>
      <c r="D409" s="2" t="s">
        <v>7</v>
      </c>
      <c r="E409" s="3" t="str">
        <f>HYPERLINK("https://springer.com/41539")</f>
        <v>https://springer.com/41539</v>
      </c>
      <c r="F409" s="2" t="s">
        <v>848</v>
      </c>
    </row>
    <row r="410" spans="1:6" ht="12.75" customHeight="1" x14ac:dyDescent="0.3">
      <c r="A410" s="2" t="s">
        <v>849</v>
      </c>
      <c r="B410" s="2" t="s">
        <v>6</v>
      </c>
      <c r="C410" s="4">
        <v>2719.78</v>
      </c>
      <c r="D410" s="2" t="s">
        <v>7</v>
      </c>
      <c r="E410" s="3" t="str">
        <f>HYPERLINK("https://springer.com/41540")</f>
        <v>https://springer.com/41540</v>
      </c>
      <c r="F410" s="2" t="s">
        <v>850</v>
      </c>
    </row>
    <row r="411" spans="1:6" ht="12.75" customHeight="1" x14ac:dyDescent="0.3">
      <c r="A411" s="2" t="s">
        <v>851</v>
      </c>
      <c r="B411" s="2" t="s">
        <v>10</v>
      </c>
      <c r="C411" s="4">
        <v>3182.98</v>
      </c>
      <c r="D411" s="2" t="s">
        <v>7</v>
      </c>
      <c r="E411" s="3" t="str">
        <f>HYPERLINK("https://springer.com/41541")</f>
        <v>https://springer.com/41541</v>
      </c>
      <c r="F411" s="2" t="s">
        <v>852</v>
      </c>
    </row>
    <row r="412" spans="1:6" ht="12.75" customHeight="1" x14ac:dyDescent="0.3">
      <c r="A412" s="2" t="s">
        <v>853</v>
      </c>
      <c r="B412" s="2" t="s">
        <v>21</v>
      </c>
      <c r="C412" s="4">
        <v>2719.78</v>
      </c>
      <c r="D412" s="2" t="s">
        <v>7</v>
      </c>
      <c r="E412" s="3" t="str">
        <f>HYPERLINK("https://springer.com/41545")</f>
        <v>https://springer.com/41545</v>
      </c>
      <c r="F412" s="2" t="s">
        <v>854</v>
      </c>
    </row>
    <row r="413" spans="1:6" ht="12.75" customHeight="1" x14ac:dyDescent="0.3">
      <c r="A413" s="2" t="s">
        <v>855</v>
      </c>
      <c r="B413" s="2" t="s">
        <v>552</v>
      </c>
      <c r="C413" s="4">
        <v>1864.65</v>
      </c>
      <c r="D413" s="2" t="s">
        <v>7</v>
      </c>
      <c r="E413" s="3" t="str">
        <f>HYPERLINK("https://springer.com/41597")</f>
        <v>https://springer.com/41597</v>
      </c>
      <c r="F413" s="2" t="s">
        <v>856</v>
      </c>
    </row>
    <row r="414" spans="1:6" ht="12.75" customHeight="1" x14ac:dyDescent="0.3">
      <c r="A414" s="2" t="s">
        <v>857</v>
      </c>
      <c r="B414" s="2" t="s">
        <v>552</v>
      </c>
      <c r="C414" s="4">
        <v>1864.65</v>
      </c>
      <c r="D414" s="2" t="s">
        <v>7</v>
      </c>
      <c r="E414" s="3" t="str">
        <f>HYPERLINK("https://springer.com/41598")</f>
        <v>https://springer.com/41598</v>
      </c>
      <c r="F414" s="2" t="s">
        <v>858</v>
      </c>
    </row>
    <row r="415" spans="1:6" ht="12.75" customHeight="1" x14ac:dyDescent="0.3">
      <c r="A415" s="2" t="s">
        <v>859</v>
      </c>
      <c r="B415" s="2" t="s">
        <v>552</v>
      </c>
      <c r="C415" s="4">
        <v>1021.4</v>
      </c>
      <c r="D415" s="2" t="s">
        <v>7</v>
      </c>
      <c r="E415" s="3" t="str">
        <f>HYPERLINK("https://springer.com/41599")</f>
        <v>https://springer.com/41599</v>
      </c>
      <c r="F415" s="2" t="s">
        <v>860</v>
      </c>
    </row>
    <row r="416" spans="1:6" ht="12.75" customHeight="1" x14ac:dyDescent="0.3">
      <c r="A416" s="2" t="s">
        <v>861</v>
      </c>
      <c r="B416" s="2" t="s">
        <v>19</v>
      </c>
      <c r="C416" s="4">
        <v>1700.76</v>
      </c>
      <c r="D416" s="2" t="s">
        <v>7</v>
      </c>
      <c r="E416" s="3" t="str">
        <f>HYPERLINK("https://springer.com/41606")</f>
        <v>https://springer.com/41606</v>
      </c>
      <c r="F416" s="2" t="s">
        <v>862</v>
      </c>
    </row>
    <row r="417" spans="1:6" ht="12.75" customHeight="1" x14ac:dyDescent="0.3">
      <c r="A417" s="2" t="s">
        <v>863</v>
      </c>
      <c r="B417" s="2" t="s">
        <v>12</v>
      </c>
      <c r="C417" s="4">
        <v>2719.78</v>
      </c>
      <c r="D417" s="2" t="s">
        <v>7</v>
      </c>
      <c r="E417" s="3" t="str">
        <f>HYPERLINK("https://springer.com/41612")</f>
        <v>https://springer.com/41612</v>
      </c>
      <c r="F417" s="2" t="s">
        <v>864</v>
      </c>
    </row>
    <row r="418" spans="1:6" ht="12.75" customHeight="1" x14ac:dyDescent="0.3">
      <c r="A418" s="2" t="s">
        <v>865</v>
      </c>
      <c r="B418" s="2" t="s">
        <v>19</v>
      </c>
      <c r="C418" s="4">
        <v>1225.68</v>
      </c>
      <c r="D418" s="2" t="s">
        <v>7</v>
      </c>
      <c r="E418" s="3" t="str">
        <f>HYPERLINK("https://springer.com/41687")</f>
        <v>https://springer.com/41687</v>
      </c>
      <c r="F418" s="2" t="s">
        <v>866</v>
      </c>
    </row>
    <row r="419" spans="1:6" ht="12.75" customHeight="1" x14ac:dyDescent="0.3">
      <c r="A419" s="2" t="s">
        <v>867</v>
      </c>
      <c r="B419" s="2" t="s">
        <v>19</v>
      </c>
      <c r="C419" s="4">
        <v>2957.32</v>
      </c>
      <c r="D419" s="2" t="s">
        <v>7</v>
      </c>
      <c r="E419" s="3" t="str">
        <f>HYPERLINK("https://springer.com/41698")</f>
        <v>https://springer.com/41698</v>
      </c>
      <c r="F419" s="2" t="s">
        <v>868</v>
      </c>
    </row>
    <row r="420" spans="1:6" ht="12.75" customHeight="1" x14ac:dyDescent="0.3">
      <c r="A420" s="2" t="s">
        <v>869</v>
      </c>
      <c r="B420" s="2" t="s">
        <v>37</v>
      </c>
      <c r="C420" s="4">
        <v>2719.78</v>
      </c>
      <c r="D420" s="2" t="s">
        <v>7</v>
      </c>
      <c r="E420" s="3" t="str">
        <f>HYPERLINK("https://springer.com/41699")</f>
        <v>https://springer.com/41699</v>
      </c>
      <c r="F420" s="2" t="s">
        <v>870</v>
      </c>
    </row>
    <row r="421" spans="1:6" ht="12.75" customHeight="1" x14ac:dyDescent="0.3">
      <c r="A421" s="2" t="s">
        <v>871</v>
      </c>
      <c r="B421" s="2" t="s">
        <v>19</v>
      </c>
      <c r="C421" s="4">
        <v>2719.78</v>
      </c>
      <c r="D421" s="2" t="s">
        <v>7</v>
      </c>
      <c r="E421" s="3" t="str">
        <f>HYPERLINK("https://springer.com/41746")</f>
        <v>https://springer.com/41746</v>
      </c>
      <c r="F421" s="2" t="s">
        <v>872</v>
      </c>
    </row>
    <row r="422" spans="1:6" ht="12.75" customHeight="1" x14ac:dyDescent="0.3">
      <c r="A422" s="2" t="s">
        <v>873</v>
      </c>
      <c r="B422" s="2" t="s">
        <v>19</v>
      </c>
      <c r="C422" s="4">
        <v>1409.29</v>
      </c>
      <c r="D422" s="2" t="s">
        <v>7</v>
      </c>
      <c r="E422" s="3" t="str">
        <f>HYPERLINK("https://springer.com/41747")</f>
        <v>https://springer.com/41747</v>
      </c>
      <c r="F422" s="2" t="s">
        <v>874</v>
      </c>
    </row>
    <row r="423" spans="1:6" ht="12.75" customHeight="1" x14ac:dyDescent="0.3">
      <c r="A423" s="2" t="s">
        <v>875</v>
      </c>
      <c r="B423" s="2" t="s">
        <v>9</v>
      </c>
      <c r="C423" s="4">
        <v>2219.5700000000002</v>
      </c>
      <c r="D423" s="2" t="s">
        <v>7</v>
      </c>
      <c r="E423" s="3" t="str">
        <f>HYPERLINK("https://springer.com/41781")</f>
        <v>https://springer.com/41781</v>
      </c>
      <c r="F423" s="2" t="s">
        <v>876</v>
      </c>
    </row>
    <row r="424" spans="1:6" ht="12.75" customHeight="1" x14ac:dyDescent="0.3">
      <c r="A424" s="2" t="s">
        <v>877</v>
      </c>
      <c r="B424" s="2" t="s">
        <v>19</v>
      </c>
      <c r="C424" s="4">
        <v>1491.72</v>
      </c>
      <c r="D424" s="2" t="s">
        <v>7</v>
      </c>
      <c r="E424" s="3" t="str">
        <f>HYPERLINK("https://springer.com/41824")</f>
        <v>https://springer.com/41824</v>
      </c>
      <c r="F424" s="2" t="s">
        <v>878</v>
      </c>
    </row>
    <row r="425" spans="1:6" ht="12.75" customHeight="1" x14ac:dyDescent="0.3">
      <c r="A425" s="2" t="s">
        <v>879</v>
      </c>
      <c r="B425" s="2" t="s">
        <v>87</v>
      </c>
      <c r="C425" s="4">
        <v>1876.78</v>
      </c>
      <c r="D425" s="2" t="s">
        <v>7</v>
      </c>
      <c r="E425" s="3" t="str">
        <f>HYPERLINK("https://springer.com/41887")</f>
        <v>https://springer.com/41887</v>
      </c>
      <c r="F425" s="2" t="s">
        <v>880</v>
      </c>
    </row>
    <row r="426" spans="1:6" ht="12.75" customHeight="1" x14ac:dyDescent="0.3">
      <c r="A426" s="2" t="s">
        <v>881</v>
      </c>
      <c r="B426" s="2" t="s">
        <v>19</v>
      </c>
      <c r="C426" s="4">
        <v>1184.23</v>
      </c>
      <c r="D426" s="2" t="s">
        <v>7</v>
      </c>
      <c r="E426" s="3" t="str">
        <f>HYPERLINK("https://springer.com/41927")</f>
        <v>https://springer.com/41927</v>
      </c>
      <c r="F426" s="2" t="s">
        <v>882</v>
      </c>
    </row>
    <row r="427" spans="1:6" ht="12.75" customHeight="1" x14ac:dyDescent="0.3">
      <c r="A427" s="2" t="s">
        <v>883</v>
      </c>
      <c r="B427" s="2" t="s">
        <v>6</v>
      </c>
      <c r="C427" s="4">
        <v>1399.32</v>
      </c>
      <c r="D427" s="2" t="s">
        <v>7</v>
      </c>
      <c r="E427" s="3" t="str">
        <f>HYPERLINK("https://springer.com/41938")</f>
        <v>https://springer.com/41938</v>
      </c>
      <c r="F427" s="2" t="s">
        <v>884</v>
      </c>
    </row>
    <row r="428" spans="1:6" ht="12.75" customHeight="1" x14ac:dyDescent="0.3">
      <c r="A428" s="2" t="s">
        <v>885</v>
      </c>
      <c r="B428" s="2" t="s">
        <v>6</v>
      </c>
      <c r="C428" s="4">
        <v>3075.35</v>
      </c>
      <c r="D428" s="2" t="s">
        <v>7</v>
      </c>
      <c r="E428" s="3" t="str">
        <f>HYPERLINK("https://springer.com/42003")</f>
        <v>https://springer.com/42003</v>
      </c>
      <c r="F428" s="2" t="s">
        <v>886</v>
      </c>
    </row>
    <row r="429" spans="1:6" ht="12.75" customHeight="1" x14ac:dyDescent="0.3">
      <c r="A429" s="2" t="s">
        <v>887</v>
      </c>
      <c r="B429" s="2" t="s">
        <v>25</v>
      </c>
      <c r="C429" s="4">
        <v>3075.35</v>
      </c>
      <c r="D429" s="2" t="s">
        <v>7</v>
      </c>
      <c r="E429" s="3" t="str">
        <f>HYPERLINK("https://springer.com/42004")</f>
        <v>https://springer.com/42004</v>
      </c>
      <c r="F429" s="2" t="s">
        <v>888</v>
      </c>
    </row>
    <row r="430" spans="1:6" ht="12.75" customHeight="1" x14ac:dyDescent="0.3">
      <c r="A430" s="2" t="s">
        <v>889</v>
      </c>
      <c r="B430" s="2" t="s">
        <v>9</v>
      </c>
      <c r="C430" s="4">
        <v>3075.35</v>
      </c>
      <c r="D430" s="2" t="s">
        <v>7</v>
      </c>
      <c r="E430" s="3" t="str">
        <f>HYPERLINK("https://springer.com/42005")</f>
        <v>https://springer.com/42005</v>
      </c>
      <c r="F430" s="2" t="s">
        <v>890</v>
      </c>
    </row>
    <row r="431" spans="1:6" ht="12.75" customHeight="1" x14ac:dyDescent="0.3">
      <c r="A431" s="2" t="s">
        <v>891</v>
      </c>
      <c r="B431" s="2" t="s">
        <v>21</v>
      </c>
      <c r="C431" s="4">
        <v>817.12</v>
      </c>
      <c r="D431" s="2" t="s">
        <v>7</v>
      </c>
      <c r="E431" s="3" t="str">
        <f>HYPERLINK("https://springer.com/42055")</f>
        <v>https://springer.com/42055</v>
      </c>
      <c r="F431" s="2" t="s">
        <v>892</v>
      </c>
    </row>
    <row r="432" spans="1:6" ht="12.75" customHeight="1" x14ac:dyDescent="0.3">
      <c r="A432" s="2" t="s">
        <v>893</v>
      </c>
      <c r="B432" s="2" t="s">
        <v>37</v>
      </c>
      <c r="C432" s="4">
        <v>2232</v>
      </c>
      <c r="D432" s="2" t="s">
        <v>7</v>
      </c>
      <c r="E432" s="3" t="str">
        <f>HYPERLINK("https://springer.com/42114")</f>
        <v>https://springer.com/42114</v>
      </c>
      <c r="F432" s="2" t="s">
        <v>894</v>
      </c>
    </row>
    <row r="433" spans="1:6" ht="12.75" customHeight="1" x14ac:dyDescent="0.3">
      <c r="A433" s="2" t="s">
        <v>895</v>
      </c>
      <c r="B433" s="2" t="s">
        <v>19</v>
      </c>
      <c r="C433" s="4">
        <v>1007.14</v>
      </c>
      <c r="D433" s="2" t="s">
        <v>7</v>
      </c>
      <c r="E433" s="3" t="str">
        <f>HYPERLINK("https://springer.com/42155")</f>
        <v>https://springer.com/42155</v>
      </c>
      <c r="F433" s="2" t="s">
        <v>896</v>
      </c>
    </row>
    <row r="434" spans="1:6" ht="12.75" customHeight="1" x14ac:dyDescent="0.3">
      <c r="A434" s="2" t="s">
        <v>897</v>
      </c>
      <c r="B434" s="2" t="s">
        <v>17</v>
      </c>
      <c r="C434" s="4">
        <v>934.1</v>
      </c>
      <c r="D434" s="2" t="s">
        <v>7</v>
      </c>
      <c r="E434" s="3" t="str">
        <f>HYPERLINK("https://springer.com/42162")</f>
        <v>https://springer.com/42162</v>
      </c>
      <c r="F434" s="2" t="s">
        <v>898</v>
      </c>
    </row>
    <row r="435" spans="1:6" ht="12.75" customHeight="1" x14ac:dyDescent="0.3">
      <c r="A435" s="2" t="s">
        <v>899</v>
      </c>
      <c r="B435" s="2" t="s">
        <v>10</v>
      </c>
      <c r="C435" s="4">
        <v>1705.38</v>
      </c>
      <c r="D435" s="2" t="s">
        <v>7</v>
      </c>
      <c r="E435" s="3" t="str">
        <f>HYPERLINK("https://springer.com/42234")</f>
        <v>https://springer.com/42234</v>
      </c>
      <c r="F435" s="2" t="s">
        <v>900</v>
      </c>
    </row>
    <row r="436" spans="1:6" ht="12.75" customHeight="1" x14ac:dyDescent="0.3">
      <c r="A436" s="2" t="s">
        <v>901</v>
      </c>
      <c r="B436" s="2" t="s">
        <v>19</v>
      </c>
      <c r="C436" s="4">
        <v>1498.98</v>
      </c>
      <c r="D436" s="2" t="s">
        <v>7</v>
      </c>
      <c r="E436" s="3" t="str">
        <f>HYPERLINK("https://springer.com/42238")</f>
        <v>https://springer.com/42238</v>
      </c>
      <c r="F436" s="2" t="s">
        <v>902</v>
      </c>
    </row>
    <row r="437" spans="1:6" ht="12.75" customHeight="1" x14ac:dyDescent="0.3">
      <c r="A437" s="2" t="s">
        <v>903</v>
      </c>
      <c r="B437" s="2" t="s">
        <v>37</v>
      </c>
      <c r="C437" s="4">
        <v>762.71</v>
      </c>
      <c r="D437" s="2" t="s">
        <v>7</v>
      </c>
      <c r="E437" s="3" t="str">
        <f>HYPERLINK("https://springer.com/42252")</f>
        <v>https://springer.com/42252</v>
      </c>
      <c r="F437" s="2" t="s">
        <v>904</v>
      </c>
    </row>
    <row r="438" spans="1:6" ht="12.75" customHeight="1" x14ac:dyDescent="0.3">
      <c r="A438" s="2" t="s">
        <v>905</v>
      </c>
      <c r="B438" s="2" t="s">
        <v>19</v>
      </c>
      <c r="C438" s="4">
        <v>1547.76</v>
      </c>
      <c r="D438" s="2" t="s">
        <v>7</v>
      </c>
      <c r="E438" s="3" t="str">
        <f>HYPERLINK("https://springer.com/42358")</f>
        <v>https://springer.com/42358</v>
      </c>
      <c r="F438" s="2" t="s">
        <v>906</v>
      </c>
    </row>
    <row r="439" spans="1:6" ht="12.75" customHeight="1" x14ac:dyDescent="0.3">
      <c r="A439" s="2" t="s">
        <v>907</v>
      </c>
      <c r="B439" s="2" t="s">
        <v>6</v>
      </c>
      <c r="C439" s="4">
        <v>1551.44</v>
      </c>
      <c r="D439" s="2" t="s">
        <v>7</v>
      </c>
      <c r="E439" s="3" t="str">
        <f>HYPERLINK("https://springer.com/42408")</f>
        <v>https://springer.com/42408</v>
      </c>
      <c r="F439" s="2" t="s">
        <v>908</v>
      </c>
    </row>
    <row r="440" spans="1:6" ht="12.75" customHeight="1" x14ac:dyDescent="0.3">
      <c r="A440" s="2" t="s">
        <v>909</v>
      </c>
      <c r="B440" s="2" t="s">
        <v>16</v>
      </c>
      <c r="C440" s="4">
        <v>1233.72</v>
      </c>
      <c r="D440" s="2" t="s">
        <v>7</v>
      </c>
      <c r="E440" s="3" t="str">
        <f>HYPERLINK("https://springer.com/42452")</f>
        <v>https://springer.com/42452</v>
      </c>
      <c r="F440" s="2" t="s">
        <v>910</v>
      </c>
    </row>
    <row r="441" spans="1:6" ht="12.75" customHeight="1" x14ac:dyDescent="0.3">
      <c r="A441" s="2" t="s">
        <v>911</v>
      </c>
      <c r="B441" s="2" t="s">
        <v>19</v>
      </c>
      <c r="C441" s="4">
        <v>1482.12</v>
      </c>
      <c r="D441" s="2" t="s">
        <v>7</v>
      </c>
      <c r="E441" s="3" t="str">
        <f>HYPERLINK("https://springer.com/42466")</f>
        <v>https://springer.com/42466</v>
      </c>
      <c r="F441" s="2" t="s">
        <v>912</v>
      </c>
    </row>
    <row r="442" spans="1:6" ht="12.75" customHeight="1" x14ac:dyDescent="0.3">
      <c r="A442" s="2" t="s">
        <v>913</v>
      </c>
      <c r="B442" s="2" t="s">
        <v>16</v>
      </c>
      <c r="C442" s="4">
        <v>1097.3900000000001</v>
      </c>
      <c r="D442" s="2" t="s">
        <v>7</v>
      </c>
      <c r="E442" s="3" t="str">
        <f>HYPERLINK("https://springer.com/42467")</f>
        <v>https://springer.com/42467</v>
      </c>
      <c r="F442" s="2" t="s">
        <v>914</v>
      </c>
    </row>
    <row r="443" spans="1:6" ht="12.75" customHeight="1" x14ac:dyDescent="0.3">
      <c r="A443" s="2" t="s">
        <v>915</v>
      </c>
      <c r="B443" s="2" t="s">
        <v>6</v>
      </c>
      <c r="C443" s="4">
        <v>1399.2</v>
      </c>
      <c r="D443" s="2" t="s">
        <v>7</v>
      </c>
      <c r="E443" s="3" t="str">
        <f>HYPERLINK("https://springer.com/42483")</f>
        <v>https://springer.com/42483</v>
      </c>
      <c r="F443" s="2" t="s">
        <v>916</v>
      </c>
    </row>
    <row r="444" spans="1:6" ht="12.75" customHeight="1" x14ac:dyDescent="0.3">
      <c r="A444" s="2" t="s">
        <v>917</v>
      </c>
      <c r="B444" s="2" t="s">
        <v>16</v>
      </c>
      <c r="C444" s="4">
        <v>1092.42</v>
      </c>
      <c r="D444" s="2" t="s">
        <v>7</v>
      </c>
      <c r="E444" s="3" t="str">
        <f>HYPERLINK("https://springer.com/42490")</f>
        <v>https://springer.com/42490</v>
      </c>
      <c r="F444" s="2" t="s">
        <v>918</v>
      </c>
    </row>
    <row r="445" spans="1:6" ht="12.75" customHeight="1" x14ac:dyDescent="0.3">
      <c r="A445" s="2" t="s">
        <v>919</v>
      </c>
      <c r="B445" s="2" t="s">
        <v>19</v>
      </c>
      <c r="C445" s="4">
        <v>1482.12</v>
      </c>
      <c r="D445" s="2" t="s">
        <v>7</v>
      </c>
      <c r="E445" s="3" t="str">
        <f>HYPERLINK("https://springer.com/42506")</f>
        <v>https://springer.com/42506</v>
      </c>
      <c r="F445" s="2" t="s">
        <v>920</v>
      </c>
    </row>
    <row r="446" spans="1:6" ht="12.75" customHeight="1" x14ac:dyDescent="0.3">
      <c r="A446" s="2" t="s">
        <v>921</v>
      </c>
      <c r="B446" s="2" t="s">
        <v>19</v>
      </c>
      <c r="C446" s="4">
        <v>1062.6400000000001</v>
      </c>
      <c r="D446" s="2" t="s">
        <v>7</v>
      </c>
      <c r="E446" s="3" t="str">
        <f>HYPERLINK("https://springer.com/42522")</f>
        <v>https://springer.com/42522</v>
      </c>
      <c r="F446" s="2" t="s">
        <v>922</v>
      </c>
    </row>
    <row r="447" spans="1:6" ht="12.75" customHeight="1" x14ac:dyDescent="0.3">
      <c r="A447" s="2" t="s">
        <v>923</v>
      </c>
      <c r="B447" s="2" t="s">
        <v>6</v>
      </c>
      <c r="C447" s="4">
        <v>1276.03</v>
      </c>
      <c r="D447" s="2" t="s">
        <v>7</v>
      </c>
      <c r="E447" s="3" t="str">
        <f>HYPERLINK("https://springer.com/42523")</f>
        <v>https://springer.com/42523</v>
      </c>
      <c r="F447" s="2" t="s">
        <v>924</v>
      </c>
    </row>
    <row r="448" spans="1:6" ht="12.75" customHeight="1" x14ac:dyDescent="0.3">
      <c r="A448" s="2" t="s">
        <v>925</v>
      </c>
      <c r="B448" s="2" t="s">
        <v>37</v>
      </c>
      <c r="C448" s="4">
        <v>1619.68</v>
      </c>
      <c r="D448" s="2" t="s">
        <v>7</v>
      </c>
      <c r="E448" s="3" t="str">
        <f>HYPERLINK("https://springer.com/42649")</f>
        <v>https://springer.com/42649</v>
      </c>
      <c r="F448" s="2" t="s">
        <v>926</v>
      </c>
    </row>
    <row r="449" spans="1:6" ht="12.75" customHeight="1" x14ac:dyDescent="0.3">
      <c r="A449" s="2" t="s">
        <v>927</v>
      </c>
      <c r="B449" s="2" t="s">
        <v>21</v>
      </c>
      <c r="C449" s="4">
        <v>1705.38</v>
      </c>
      <c r="D449" s="2" t="s">
        <v>7</v>
      </c>
      <c r="E449" s="3" t="str">
        <f>HYPERLINK("https://springer.com/42773")</f>
        <v>https://springer.com/42773</v>
      </c>
      <c r="F449" s="2" t="s">
        <v>928</v>
      </c>
    </row>
    <row r="450" spans="1:6" ht="12.75" customHeight="1" x14ac:dyDescent="0.3">
      <c r="A450" s="2" t="s">
        <v>929</v>
      </c>
      <c r="B450" s="2" t="s">
        <v>16</v>
      </c>
      <c r="C450" s="4">
        <v>1232.8800000000001</v>
      </c>
      <c r="D450" s="2" t="s">
        <v>7</v>
      </c>
      <c r="E450" s="3" t="str">
        <f>HYPERLINK("https://springer.com/42834")</f>
        <v>https://springer.com/42834</v>
      </c>
      <c r="F450" s="2" t="s">
        <v>930</v>
      </c>
    </row>
    <row r="451" spans="1:6" ht="12.75" customHeight="1" x14ac:dyDescent="0.3">
      <c r="A451" s="2" t="s">
        <v>931</v>
      </c>
      <c r="B451" s="2" t="s">
        <v>19</v>
      </c>
      <c r="C451" s="4">
        <v>1813.32</v>
      </c>
      <c r="D451" s="2" t="s">
        <v>7</v>
      </c>
      <c r="E451" s="3" t="str">
        <f>HYPERLINK("https://springer.com/42836")</f>
        <v>https://springer.com/42836</v>
      </c>
      <c r="F451" s="2" t="s">
        <v>932</v>
      </c>
    </row>
    <row r="452" spans="1:6" ht="12.75" customHeight="1" x14ac:dyDescent="0.3">
      <c r="A452" s="2" t="s">
        <v>933</v>
      </c>
      <c r="B452" s="2" t="s">
        <v>21</v>
      </c>
      <c r="C452" s="4">
        <v>725.21</v>
      </c>
      <c r="D452" s="2" t="s">
        <v>7</v>
      </c>
      <c r="E452" s="3" t="str">
        <f>HYPERLINK("https://springer.com/42854")</f>
        <v>https://springer.com/42854</v>
      </c>
      <c r="F452" s="2" t="s">
        <v>934</v>
      </c>
    </row>
    <row r="453" spans="1:6" ht="12.75" customHeight="1" x14ac:dyDescent="0.3">
      <c r="A453" s="2" t="s">
        <v>935</v>
      </c>
      <c r="B453" s="2" t="s">
        <v>21</v>
      </c>
      <c r="C453" s="4">
        <v>1801.6</v>
      </c>
      <c r="D453" s="2" t="s">
        <v>7</v>
      </c>
      <c r="E453" s="3" t="str">
        <f>HYPERLINK("https://springer.com/42949")</f>
        <v>https://springer.com/42949</v>
      </c>
      <c r="F453" s="2" t="s">
        <v>936</v>
      </c>
    </row>
    <row r="454" spans="1:6" ht="12.75" customHeight="1" x14ac:dyDescent="0.3">
      <c r="A454" s="2" t="s">
        <v>937</v>
      </c>
      <c r="B454" s="2" t="s">
        <v>6</v>
      </c>
      <c r="C454" s="4">
        <v>1564.92</v>
      </c>
      <c r="D454" s="2" t="s">
        <v>7</v>
      </c>
      <c r="E454" s="3" t="str">
        <f>HYPERLINK("https://springer.com/43014")</f>
        <v>https://springer.com/43014</v>
      </c>
      <c r="F454" s="2" t="s">
        <v>938</v>
      </c>
    </row>
    <row r="455" spans="1:6" ht="12.75" customHeight="1" x14ac:dyDescent="0.3">
      <c r="A455" s="2" t="s">
        <v>939</v>
      </c>
      <c r="B455" s="2" t="s">
        <v>19</v>
      </c>
      <c r="C455" s="4">
        <v>1362.59</v>
      </c>
      <c r="D455" s="2" t="s">
        <v>7</v>
      </c>
      <c r="E455" s="3" t="str">
        <f>HYPERLINK("https://springer.com/43058")</f>
        <v>https://springer.com/43058</v>
      </c>
      <c r="F455" s="2" t="s">
        <v>940</v>
      </c>
    </row>
    <row r="456" spans="1:6" ht="12.75" customHeight="1" x14ac:dyDescent="0.3">
      <c r="A456" s="2" t="s">
        <v>941</v>
      </c>
      <c r="B456" s="2" t="s">
        <v>16</v>
      </c>
      <c r="C456" s="4">
        <v>1019.8</v>
      </c>
      <c r="D456" s="2" t="s">
        <v>7</v>
      </c>
      <c r="E456" s="3" t="str">
        <f>HYPERLINK("https://springer.com/43065")</f>
        <v>https://springer.com/43065</v>
      </c>
      <c r="F456" s="2" t="s">
        <v>942</v>
      </c>
    </row>
    <row r="457" spans="1:6" ht="12.75" customHeight="1" x14ac:dyDescent="0.3">
      <c r="A457" s="2" t="s">
        <v>943</v>
      </c>
      <c r="B457" s="2" t="s">
        <v>16</v>
      </c>
      <c r="C457" s="4">
        <v>1533.99</v>
      </c>
      <c r="D457" s="2" t="s">
        <v>7</v>
      </c>
      <c r="E457" s="3" t="str">
        <f>HYPERLINK("https://springer.com/43074")</f>
        <v>https://springer.com/43074</v>
      </c>
      <c r="F457" s="2" t="s">
        <v>944</v>
      </c>
    </row>
    <row r="458" spans="1:6" ht="12.75" customHeight="1" x14ac:dyDescent="0.3">
      <c r="A458" s="2" t="s">
        <v>945</v>
      </c>
      <c r="B458" s="2" t="s">
        <v>19</v>
      </c>
      <c r="C458" s="4">
        <v>1352</v>
      </c>
      <c r="D458" s="2" t="s">
        <v>7</v>
      </c>
      <c r="E458" s="3" t="str">
        <f>HYPERLINK("https://springer.com/43088")</f>
        <v>https://springer.com/43088</v>
      </c>
      <c r="F458" s="2" t="s">
        <v>946</v>
      </c>
    </row>
    <row r="459" spans="1:6" ht="12.75" customHeight="1" x14ac:dyDescent="0.3">
      <c r="A459" s="2" t="s">
        <v>947</v>
      </c>
      <c r="B459" s="2" t="s">
        <v>19</v>
      </c>
      <c r="C459" s="4">
        <v>1752</v>
      </c>
      <c r="D459" s="2" t="s">
        <v>7</v>
      </c>
      <c r="E459" s="3" t="str">
        <f>HYPERLINK("https://springer.com/43094")</f>
        <v>https://springer.com/43094</v>
      </c>
      <c r="F459" s="2" t="s">
        <v>948</v>
      </c>
    </row>
    <row r="460" spans="1:6" ht="12.75" customHeight="1" x14ac:dyDescent="0.3">
      <c r="A460" s="2" t="s">
        <v>949</v>
      </c>
      <c r="B460" s="2" t="s">
        <v>37</v>
      </c>
      <c r="C460" s="4">
        <v>2871.57</v>
      </c>
      <c r="D460" s="2" t="s">
        <v>7</v>
      </c>
      <c r="E460" s="3" t="str">
        <f>HYPERLINK("https://springer.com/43246")</f>
        <v>https://springer.com/43246</v>
      </c>
      <c r="F460" s="2" t="s">
        <v>950</v>
      </c>
    </row>
    <row r="461" spans="1:6" ht="12.75" customHeight="1" x14ac:dyDescent="0.3">
      <c r="A461" s="2" t="s">
        <v>951</v>
      </c>
      <c r="B461" s="2" t="s">
        <v>21</v>
      </c>
      <c r="C461" s="4">
        <v>2375.36</v>
      </c>
      <c r="D461" s="2" t="s">
        <v>7</v>
      </c>
      <c r="E461" s="3" t="str">
        <f>HYPERLINK("https://springer.com/43247")</f>
        <v>https://springer.com/43247</v>
      </c>
      <c r="F461" s="2" t="s">
        <v>952</v>
      </c>
    </row>
    <row r="462" spans="1:6" ht="12.75" customHeight="1" x14ac:dyDescent="0.3">
      <c r="A462" s="2" t="s">
        <v>953</v>
      </c>
      <c r="B462" s="2" t="s">
        <v>10</v>
      </c>
      <c r="C462" s="4">
        <v>1730.52</v>
      </c>
      <c r="D462" s="2" t="s">
        <v>7</v>
      </c>
      <c r="E462" s="3" t="str">
        <f>HYPERLINK("https://springer.com/43556")</f>
        <v>https://springer.com/43556</v>
      </c>
      <c r="F462" s="2" t="s">
        <v>954</v>
      </c>
    </row>
    <row r="463" spans="1:6" ht="12.75" customHeight="1" x14ac:dyDescent="0.3">
      <c r="A463" s="2" t="s">
        <v>955</v>
      </c>
      <c r="B463" s="2" t="s">
        <v>37</v>
      </c>
      <c r="C463" s="4">
        <v>934.1</v>
      </c>
      <c r="D463" s="2" t="s">
        <v>7</v>
      </c>
      <c r="E463" s="3" t="str">
        <f>HYPERLINK("https://springer.com/43591")</f>
        <v>https://springer.com/43591</v>
      </c>
      <c r="F463" s="2" t="s">
        <v>956</v>
      </c>
    </row>
    <row r="464" spans="1:6" ht="12.75" customHeight="1" x14ac:dyDescent="0.3">
      <c r="A464" s="2" t="s">
        <v>957</v>
      </c>
      <c r="B464" s="2" t="s">
        <v>21</v>
      </c>
      <c r="C464" s="4">
        <v>805.56</v>
      </c>
      <c r="D464" s="2" t="s">
        <v>7</v>
      </c>
      <c r="E464" s="3" t="str">
        <f>HYPERLINK("https://springer.com/43621")</f>
        <v>https://springer.com/43621</v>
      </c>
      <c r="F464" s="2" t="s">
        <v>958</v>
      </c>
    </row>
    <row r="465" spans="1:6" ht="12.75" customHeight="1" x14ac:dyDescent="0.3">
      <c r="A465" s="2" t="s">
        <v>959</v>
      </c>
      <c r="B465" s="2" t="s">
        <v>9</v>
      </c>
      <c r="C465" s="4">
        <v>1362.59</v>
      </c>
      <c r="D465" s="2" t="s">
        <v>7</v>
      </c>
      <c r="E465" s="3" t="str">
        <f>HYPERLINK("https://springer.com/43673")</f>
        <v>https://springer.com/43673</v>
      </c>
      <c r="F465" s="2" t="s">
        <v>960</v>
      </c>
    </row>
    <row r="466" spans="1:6" ht="12.75" customHeight="1" x14ac:dyDescent="0.3">
      <c r="A466" s="2" t="s">
        <v>961</v>
      </c>
      <c r="B466" s="2" t="s">
        <v>10</v>
      </c>
      <c r="C466" s="4">
        <v>934.1</v>
      </c>
      <c r="D466" s="2" t="s">
        <v>7</v>
      </c>
      <c r="E466" s="3" t="str">
        <f>HYPERLINK("https://springer.com/43682")</f>
        <v>https://springer.com/43682</v>
      </c>
      <c r="F466" s="2" t="s">
        <v>962</v>
      </c>
    </row>
    <row r="467" spans="1:6" ht="12.75" customHeight="1" x14ac:dyDescent="0.3">
      <c r="A467" s="2" t="s">
        <v>963</v>
      </c>
      <c r="B467" s="2" t="s">
        <v>12</v>
      </c>
      <c r="C467" s="4">
        <v>878.09</v>
      </c>
      <c r="D467" s="2" t="s">
        <v>7</v>
      </c>
      <c r="E467" s="3" t="str">
        <f>HYPERLINK("https://springer.com/43832")</f>
        <v>https://springer.com/43832</v>
      </c>
      <c r="F467" s="2" t="s">
        <v>964</v>
      </c>
    </row>
    <row r="468" spans="1:6" ht="12.75" customHeight="1" x14ac:dyDescent="0.3">
      <c r="A468" s="2" t="s">
        <v>965</v>
      </c>
      <c r="B468" s="2" t="s">
        <v>19</v>
      </c>
      <c r="C468" s="4">
        <v>2982.44</v>
      </c>
      <c r="D468" s="2" t="s">
        <v>7</v>
      </c>
      <c r="E468" s="3" t="str">
        <f>HYPERLINK("https://springer.com/43856")</f>
        <v>https://springer.com/43856</v>
      </c>
      <c r="F468" s="2" t="s">
        <v>966</v>
      </c>
    </row>
    <row r="469" spans="1:6" ht="12.75" customHeight="1" x14ac:dyDescent="0.3">
      <c r="A469" s="2" t="s">
        <v>967</v>
      </c>
      <c r="B469" s="2" t="s">
        <v>17</v>
      </c>
      <c r="C469" s="4">
        <v>878.09</v>
      </c>
      <c r="D469" s="2" t="s">
        <v>7</v>
      </c>
      <c r="E469" s="3" t="str">
        <f>HYPERLINK("https://springer.com/43926")</f>
        <v>https://springer.com/43926</v>
      </c>
      <c r="F469" s="2" t="s">
        <v>968</v>
      </c>
    </row>
    <row r="470" spans="1:6" ht="12.75" customHeight="1" x14ac:dyDescent="0.3">
      <c r="A470" s="2" t="s">
        <v>969</v>
      </c>
      <c r="B470" s="2" t="s">
        <v>92</v>
      </c>
      <c r="C470" s="4">
        <v>878.09</v>
      </c>
      <c r="D470" s="2" t="s">
        <v>7</v>
      </c>
      <c r="E470" s="3" t="str">
        <f>HYPERLINK("https://springer.com/43937")</f>
        <v>https://springer.com/43937</v>
      </c>
      <c r="F470" s="2" t="s">
        <v>970</v>
      </c>
    </row>
    <row r="471" spans="1:6" ht="12.75" customHeight="1" x14ac:dyDescent="0.3">
      <c r="A471" s="2" t="s">
        <v>971</v>
      </c>
      <c r="B471" s="2" t="s">
        <v>25</v>
      </c>
      <c r="C471" s="4">
        <v>878.09</v>
      </c>
      <c r="D471" s="2" t="s">
        <v>7</v>
      </c>
      <c r="E471" s="3" t="str">
        <f>HYPERLINK("https://springer.com/43938")</f>
        <v>https://springer.com/43938</v>
      </c>
      <c r="F471" s="2" t="s">
        <v>972</v>
      </c>
    </row>
    <row r="472" spans="1:6" ht="12.75" customHeight="1" x14ac:dyDescent="0.3">
      <c r="A472" s="2" t="s">
        <v>973</v>
      </c>
      <c r="B472" s="2" t="s">
        <v>37</v>
      </c>
      <c r="C472" s="4">
        <v>878.09</v>
      </c>
      <c r="D472" s="2" t="s">
        <v>7</v>
      </c>
      <c r="E472" s="3" t="str">
        <f>HYPERLINK("https://springer.com/43939")</f>
        <v>https://springer.com/43939</v>
      </c>
      <c r="F472" s="2" t="s">
        <v>974</v>
      </c>
    </row>
    <row r="473" spans="1:6" ht="12.75" customHeight="1" x14ac:dyDescent="0.3">
      <c r="A473" s="2" t="s">
        <v>975</v>
      </c>
      <c r="B473" s="2" t="s">
        <v>19</v>
      </c>
      <c r="C473" s="4">
        <v>1352</v>
      </c>
      <c r="D473" s="2" t="s">
        <v>7</v>
      </c>
      <c r="E473" s="3" t="str">
        <f>HYPERLINK("https://springer.com/43999")</f>
        <v>https://springer.com/43999</v>
      </c>
      <c r="F473" s="2" t="s">
        <v>976</v>
      </c>
    </row>
    <row r="474" spans="1:6" ht="12.75" customHeight="1" x14ac:dyDescent="0.3">
      <c r="A474" s="2" t="s">
        <v>977</v>
      </c>
      <c r="B474" s="2" t="s">
        <v>73</v>
      </c>
      <c r="C474" s="4">
        <v>878.09</v>
      </c>
      <c r="D474" s="2" t="s">
        <v>7</v>
      </c>
      <c r="E474" s="3" t="str">
        <f>HYPERLINK("https://springer.com/44155")</f>
        <v>https://springer.com/44155</v>
      </c>
      <c r="F474" s="2" t="s">
        <v>978</v>
      </c>
    </row>
    <row r="475" spans="1:6" ht="12.75" customHeight="1" x14ac:dyDescent="0.3">
      <c r="A475" s="2" t="s">
        <v>979</v>
      </c>
      <c r="B475" s="2" t="s">
        <v>19</v>
      </c>
      <c r="C475" s="4">
        <v>1533.99</v>
      </c>
      <c r="D475" s="2" t="s">
        <v>117</v>
      </c>
      <c r="E475" s="3" t="str">
        <f>HYPERLINK("https://springer.com/44156")</f>
        <v>https://springer.com/44156</v>
      </c>
      <c r="F475" s="2" t="s">
        <v>980</v>
      </c>
    </row>
    <row r="476" spans="1:6" ht="12.75" customHeight="1" x14ac:dyDescent="0.3">
      <c r="A476" s="2" t="s">
        <v>981</v>
      </c>
      <c r="B476" s="2" t="s">
        <v>19</v>
      </c>
      <c r="C476" s="4">
        <v>1362.59</v>
      </c>
      <c r="D476" s="2" t="s">
        <v>7</v>
      </c>
      <c r="E476" s="3" t="str">
        <f>HYPERLINK("https://springer.com/44158")</f>
        <v>https://springer.com/44158</v>
      </c>
      <c r="F476" s="2" t="s">
        <v>982</v>
      </c>
    </row>
    <row r="477" spans="1:6" ht="12.75" customHeight="1" x14ac:dyDescent="0.3">
      <c r="A477" s="2" t="s">
        <v>983</v>
      </c>
      <c r="B477" s="2" t="s">
        <v>16</v>
      </c>
      <c r="C477" s="4">
        <v>878.09</v>
      </c>
      <c r="D477" s="2" t="s">
        <v>7</v>
      </c>
      <c r="E477" s="3" t="str">
        <f>HYPERLINK("https://springer.com/44163")</f>
        <v>https://springer.com/44163</v>
      </c>
      <c r="F477" s="2" t="s">
        <v>984</v>
      </c>
    </row>
    <row r="478" spans="1:6" ht="12.75" customHeight="1" x14ac:dyDescent="0.3">
      <c r="A478" s="2" t="s">
        <v>985</v>
      </c>
      <c r="B478" s="2" t="s">
        <v>19</v>
      </c>
      <c r="C478" s="4">
        <v>1191.2</v>
      </c>
      <c r="D478" s="2" t="s">
        <v>7</v>
      </c>
      <c r="E478" s="3" t="str">
        <f>HYPERLINK("https://springer.com/44167")</f>
        <v>https://springer.com/44167</v>
      </c>
      <c r="F478" s="2" t="s">
        <v>986</v>
      </c>
    </row>
    <row r="479" spans="1:6" ht="12.75" customHeight="1" x14ac:dyDescent="0.3">
      <c r="A479" s="2" t="s">
        <v>987</v>
      </c>
      <c r="B479" s="2" t="s">
        <v>21</v>
      </c>
      <c r="C479" s="4">
        <v>1128.1500000000001</v>
      </c>
      <c r="D479" s="2" t="s">
        <v>7</v>
      </c>
      <c r="E479" s="3" t="str">
        <f>HYPERLINK("https://springer.com/44168")</f>
        <v>https://springer.com/44168</v>
      </c>
      <c r="F479" s="2" t="s">
        <v>988</v>
      </c>
    </row>
    <row r="480" spans="1:6" ht="12.75" customHeight="1" x14ac:dyDescent="0.3">
      <c r="A480" s="2" t="s">
        <v>989</v>
      </c>
      <c r="B480" s="2" t="s">
        <v>16</v>
      </c>
      <c r="C480" s="4">
        <v>1740.68</v>
      </c>
      <c r="D480" s="2" t="s">
        <v>7</v>
      </c>
      <c r="E480" s="3" t="str">
        <f>HYPERLINK("https://springer.com/44172")</f>
        <v>https://springer.com/44172</v>
      </c>
      <c r="F480" s="2" t="s">
        <v>990</v>
      </c>
    </row>
    <row r="481" spans="1:6" ht="12.75" customHeight="1" x14ac:dyDescent="0.3">
      <c r="A481" s="2" t="s">
        <v>991</v>
      </c>
      <c r="B481" s="2" t="s">
        <v>92</v>
      </c>
      <c r="C481" s="4">
        <v>902.52</v>
      </c>
      <c r="D481" s="2" t="s">
        <v>7</v>
      </c>
      <c r="E481" s="3" t="str">
        <f>HYPERLINK("https://springer.com/44173")</f>
        <v>https://springer.com/44173</v>
      </c>
      <c r="F481" s="2" t="s">
        <v>992</v>
      </c>
    </row>
    <row r="482" spans="1:6" ht="12.75" customHeight="1" x14ac:dyDescent="0.3">
      <c r="A482" s="2" t="s">
        <v>993</v>
      </c>
      <c r="B482" s="2" t="s">
        <v>16</v>
      </c>
      <c r="C482" s="4">
        <v>1624.95</v>
      </c>
      <c r="D482" s="2" t="s">
        <v>7</v>
      </c>
      <c r="E482" s="3" t="str">
        <f>HYPERLINK("https://springer.com/44182")</f>
        <v>https://springer.com/44182</v>
      </c>
      <c r="F482" s="2" t="s">
        <v>994</v>
      </c>
    </row>
    <row r="483" spans="1:6" ht="12.75" customHeight="1" x14ac:dyDescent="0.3">
      <c r="A483" s="2" t="s">
        <v>995</v>
      </c>
      <c r="B483" s="2" t="s">
        <v>21</v>
      </c>
      <c r="C483" s="4">
        <v>1681.82</v>
      </c>
      <c r="D483" s="2" t="s">
        <v>7</v>
      </c>
      <c r="E483" s="3" t="str">
        <f>HYPERLINK("https://springer.com/44183")</f>
        <v>https://springer.com/44183</v>
      </c>
      <c r="F483" s="2" t="s">
        <v>996</v>
      </c>
    </row>
    <row r="484" spans="1:6" ht="12.75" customHeight="1" x14ac:dyDescent="0.3">
      <c r="A484" s="2" t="s">
        <v>997</v>
      </c>
      <c r="B484" s="2" t="s">
        <v>19</v>
      </c>
      <c r="C484" s="4">
        <v>1128.1500000000001</v>
      </c>
      <c r="D484" s="2" t="s">
        <v>7</v>
      </c>
      <c r="E484" s="3" t="str">
        <f>HYPERLINK("https://springer.com/44184")</f>
        <v>https://springer.com/44184</v>
      </c>
      <c r="F484" s="2" t="s">
        <v>998</v>
      </c>
    </row>
    <row r="485" spans="1:6" ht="12.75" customHeight="1" x14ac:dyDescent="0.3">
      <c r="A485" s="2" t="s">
        <v>999</v>
      </c>
      <c r="B485" s="2" t="s">
        <v>6</v>
      </c>
      <c r="C485" s="4">
        <v>1681.82</v>
      </c>
      <c r="D485" s="2" t="s">
        <v>7</v>
      </c>
      <c r="E485" s="3" t="str">
        <f>HYPERLINK("https://springer.com/44185")</f>
        <v>https://springer.com/44185</v>
      </c>
      <c r="F485" s="2" t="s">
        <v>1000</v>
      </c>
    </row>
    <row r="486" spans="1:6" ht="12.75" customHeight="1" x14ac:dyDescent="0.3">
      <c r="A486" s="2" t="s">
        <v>1001</v>
      </c>
      <c r="B486" s="2" t="s">
        <v>25</v>
      </c>
      <c r="C486" s="4">
        <v>878.09</v>
      </c>
      <c r="D486" s="2" t="s">
        <v>7</v>
      </c>
      <c r="E486" s="3" t="str">
        <f>HYPERLINK("https://springer.com/44187")</f>
        <v>https://springer.com/44187</v>
      </c>
      <c r="F486" s="2" t="s">
        <v>1002</v>
      </c>
    </row>
    <row r="487" spans="1:6" ht="12.75" customHeight="1" x14ac:dyDescent="0.3">
      <c r="A487" s="2" t="s">
        <v>1003</v>
      </c>
      <c r="B487" s="2" t="s">
        <v>16</v>
      </c>
      <c r="C487" s="4">
        <v>1498.98</v>
      </c>
      <c r="D487" s="2" t="s">
        <v>7</v>
      </c>
      <c r="E487" s="3" t="str">
        <f>HYPERLINK("https://springer.com/44189")</f>
        <v>https://springer.com/44189</v>
      </c>
      <c r="F487" s="2" t="s">
        <v>1004</v>
      </c>
    </row>
    <row r="488" spans="1:6" ht="12.75" customHeight="1" x14ac:dyDescent="0.3">
      <c r="A488" s="2" t="s">
        <v>1005</v>
      </c>
      <c r="B488" s="2" t="s">
        <v>19</v>
      </c>
      <c r="C488" s="4">
        <v>878.09</v>
      </c>
      <c r="D488" s="2" t="s">
        <v>7</v>
      </c>
      <c r="E488" s="3" t="str">
        <f>HYPERLINK("https://springer.com/44192")</f>
        <v>https://springer.com/44192</v>
      </c>
      <c r="F488" s="2" t="s">
        <v>1006</v>
      </c>
    </row>
    <row r="489" spans="1:6" ht="12.75" customHeight="1" x14ac:dyDescent="0.3">
      <c r="A489" s="2" t="s">
        <v>1007</v>
      </c>
      <c r="B489" s="2" t="s">
        <v>12</v>
      </c>
      <c r="C489" s="4">
        <v>1392.54</v>
      </c>
      <c r="D489" s="2" t="s">
        <v>7</v>
      </c>
      <c r="E489" s="3" t="str">
        <f>HYPERLINK("https://springer.com/44195")</f>
        <v>https://springer.com/44195</v>
      </c>
      <c r="F489" s="2" t="s">
        <v>1008</v>
      </c>
    </row>
    <row r="490" spans="1:6" ht="12.75" customHeight="1" x14ac:dyDescent="0.3">
      <c r="A490" s="2" t="s">
        <v>1009</v>
      </c>
      <c r="B490" s="2" t="s">
        <v>16</v>
      </c>
      <c r="C490" s="4">
        <v>1354.06</v>
      </c>
      <c r="D490" s="2" t="s">
        <v>7</v>
      </c>
      <c r="E490" s="3" t="str">
        <f>HYPERLINK("https://springer.com/44196")</f>
        <v>https://springer.com/44196</v>
      </c>
      <c r="F490" s="2" t="s">
        <v>1010</v>
      </c>
    </row>
    <row r="491" spans="1:6" ht="12.75" customHeight="1" x14ac:dyDescent="0.3">
      <c r="A491" s="2" t="s">
        <v>1011</v>
      </c>
      <c r="B491" s="2" t="s">
        <v>19</v>
      </c>
      <c r="C491" s="4">
        <v>895.04</v>
      </c>
      <c r="D491" s="2" t="s">
        <v>7</v>
      </c>
      <c r="E491" s="3" t="str">
        <f>HYPERLINK("https://springer.com/44197")</f>
        <v>https://springer.com/44197</v>
      </c>
      <c r="F491" s="2" t="s">
        <v>1012</v>
      </c>
    </row>
    <row r="492" spans="1:6" ht="12.75" customHeight="1" x14ac:dyDescent="0.3">
      <c r="A492" s="2" t="s">
        <v>1013</v>
      </c>
      <c r="B492" s="2" t="s">
        <v>8</v>
      </c>
      <c r="C492" s="4">
        <v>688.49</v>
      </c>
      <c r="D492" s="2" t="s">
        <v>7</v>
      </c>
      <c r="E492" s="3" t="str">
        <f>HYPERLINK("https://springer.com/44198")</f>
        <v>https://springer.com/44198</v>
      </c>
      <c r="F492" s="2" t="s">
        <v>1014</v>
      </c>
    </row>
    <row r="493" spans="1:6" ht="12.75" customHeight="1" x14ac:dyDescent="0.3">
      <c r="A493" s="2" t="s">
        <v>1015</v>
      </c>
      <c r="B493" s="2" t="s">
        <v>23</v>
      </c>
      <c r="C493" s="4">
        <v>780.3</v>
      </c>
      <c r="D493" s="2" t="s">
        <v>7</v>
      </c>
      <c r="E493" s="3" t="str">
        <f>HYPERLINK("https://springer.com/44199")</f>
        <v>https://springer.com/44199</v>
      </c>
      <c r="F493" s="2" t="s">
        <v>1016</v>
      </c>
    </row>
    <row r="494" spans="1:6" ht="12.75" customHeight="1" x14ac:dyDescent="0.3">
      <c r="A494" s="2" t="s">
        <v>1017</v>
      </c>
      <c r="B494" s="2" t="s">
        <v>19</v>
      </c>
      <c r="C494" s="4">
        <v>918</v>
      </c>
      <c r="D494" s="2" t="s">
        <v>7</v>
      </c>
      <c r="E494" s="3" t="str">
        <f>HYPERLINK("https://springer.com/44200")</f>
        <v>https://springer.com/44200</v>
      </c>
      <c r="F494" s="2" t="s">
        <v>1018</v>
      </c>
    </row>
    <row r="495" spans="1:6" ht="12.75" customHeight="1" x14ac:dyDescent="0.3">
      <c r="A495" s="2" t="s">
        <v>1019</v>
      </c>
      <c r="B495" s="2" t="s">
        <v>42</v>
      </c>
      <c r="C495" s="4">
        <v>878.09</v>
      </c>
      <c r="D495" s="2" t="s">
        <v>7</v>
      </c>
      <c r="E495" s="3" t="str">
        <f>HYPERLINK("https://springer.com/44202")</f>
        <v>https://springer.com/44202</v>
      </c>
      <c r="F495" s="2" t="s">
        <v>1020</v>
      </c>
    </row>
    <row r="496" spans="1:6" ht="12.75" customHeight="1" x14ac:dyDescent="0.3">
      <c r="A496" s="2" t="s">
        <v>1021</v>
      </c>
      <c r="B496" s="2" t="s">
        <v>19</v>
      </c>
      <c r="C496" s="4">
        <v>861.12</v>
      </c>
      <c r="D496" s="2" t="s">
        <v>7</v>
      </c>
      <c r="E496" s="3" t="str">
        <f>HYPERLINK("https://springer.com/44203")</f>
        <v>https://springer.com/44203</v>
      </c>
      <c r="F496" s="2" t="s">
        <v>1022</v>
      </c>
    </row>
    <row r="497" spans="1:6" ht="12.75" customHeight="1" x14ac:dyDescent="0.3">
      <c r="A497" s="2" t="s">
        <v>1023</v>
      </c>
      <c r="B497" s="2" t="s">
        <v>9</v>
      </c>
      <c r="C497" s="4">
        <v>934.1</v>
      </c>
      <c r="D497" s="2" t="s">
        <v>7</v>
      </c>
      <c r="E497" s="3" t="str">
        <f>HYPERLINK("https://springer.com/44205")</f>
        <v>https://springer.com/44205</v>
      </c>
      <c r="F497" s="2" t="s">
        <v>1024</v>
      </c>
    </row>
    <row r="498" spans="1:6" ht="12.75" customHeight="1" x14ac:dyDescent="0.3">
      <c r="A498" s="2" t="s">
        <v>1025</v>
      </c>
      <c r="B498" s="2" t="s">
        <v>8</v>
      </c>
      <c r="C498" s="4">
        <v>1032</v>
      </c>
      <c r="D498" s="2" t="s">
        <v>7</v>
      </c>
      <c r="E498" s="3" t="str">
        <f>HYPERLINK("https://springer.com/44207")</f>
        <v>https://springer.com/44207</v>
      </c>
      <c r="F498" s="2" t="s">
        <v>1026</v>
      </c>
    </row>
    <row r="499" spans="1:6" ht="12.75" customHeight="1" x14ac:dyDescent="0.3">
      <c r="A499" s="2" t="s">
        <v>1027</v>
      </c>
      <c r="B499" s="2" t="s">
        <v>49</v>
      </c>
      <c r="C499" s="4">
        <v>902.52</v>
      </c>
      <c r="D499" s="2" t="s">
        <v>7</v>
      </c>
      <c r="E499" s="3" t="str">
        <f>HYPERLINK("https://springer.com/44213")</f>
        <v>https://springer.com/44213</v>
      </c>
      <c r="F499" s="2" t="s">
        <v>1028</v>
      </c>
    </row>
    <row r="500" spans="1:6" ht="12.75" customHeight="1" x14ac:dyDescent="0.3">
      <c r="A500" s="2" t="s">
        <v>1029</v>
      </c>
      <c r="B500" s="2" t="s">
        <v>19</v>
      </c>
      <c r="C500" s="4">
        <v>1319.74</v>
      </c>
      <c r="D500" s="2" t="s">
        <v>117</v>
      </c>
      <c r="E500" s="3" t="str">
        <f>HYPERLINK("https://springer.com/44215")</f>
        <v>https://springer.com/44215</v>
      </c>
      <c r="F500" s="2" t="s">
        <v>1030</v>
      </c>
    </row>
    <row r="501" spans="1:6" ht="12.75" customHeight="1" x14ac:dyDescent="0.3">
      <c r="A501" s="2" t="s">
        <v>1031</v>
      </c>
      <c r="B501" s="2" t="s">
        <v>68</v>
      </c>
      <c r="C501" s="4">
        <v>848.4</v>
      </c>
      <c r="D501" s="2" t="s">
        <v>7</v>
      </c>
      <c r="E501" s="3" t="str">
        <f>HYPERLINK("https://springer.com/44217")</f>
        <v>https://springer.com/44217</v>
      </c>
      <c r="F501" s="2" t="s">
        <v>1032</v>
      </c>
    </row>
    <row r="502" spans="1:6" ht="12.75" customHeight="1" x14ac:dyDescent="0.3">
      <c r="A502" s="2" t="s">
        <v>1033</v>
      </c>
      <c r="B502" s="2" t="s">
        <v>17</v>
      </c>
      <c r="C502" s="4">
        <v>886.96</v>
      </c>
      <c r="D502" s="2" t="s">
        <v>7</v>
      </c>
      <c r="E502" s="3" t="str">
        <f>HYPERLINK("https://springer.com/44227")</f>
        <v>https://springer.com/44227</v>
      </c>
      <c r="F502" s="2" t="s">
        <v>1034</v>
      </c>
    </row>
    <row r="503" spans="1:6" ht="12.75" customHeight="1" x14ac:dyDescent="0.3">
      <c r="A503" s="2" t="s">
        <v>1035</v>
      </c>
      <c r="B503" s="2" t="s">
        <v>17</v>
      </c>
      <c r="C503" s="4">
        <v>1234.04</v>
      </c>
      <c r="D503" s="2" t="s">
        <v>7</v>
      </c>
      <c r="E503" s="3" t="str">
        <f>HYPERLINK("https://springer.com/44244")</f>
        <v>https://springer.com/44244</v>
      </c>
      <c r="F503" s="2" t="s">
        <v>1036</v>
      </c>
    </row>
    <row r="504" spans="1:6" ht="12.75" customHeight="1" x14ac:dyDescent="0.3">
      <c r="A504" s="2" t="s">
        <v>1037</v>
      </c>
      <c r="B504" s="2" t="s">
        <v>16</v>
      </c>
      <c r="C504" s="4">
        <v>848.4</v>
      </c>
      <c r="D504" s="2" t="s">
        <v>7</v>
      </c>
      <c r="E504" s="3" t="str">
        <f>HYPERLINK("https://springer.com/44245")</f>
        <v>https://springer.com/44245</v>
      </c>
      <c r="F504" s="2" t="s">
        <v>1038</v>
      </c>
    </row>
    <row r="505" spans="1:6" ht="12.75" customHeight="1" x14ac:dyDescent="0.3">
      <c r="A505" s="2" t="s">
        <v>1039</v>
      </c>
      <c r="B505" s="2" t="s">
        <v>19</v>
      </c>
      <c r="C505" s="4">
        <v>1276.8900000000001</v>
      </c>
      <c r="D505" s="2" t="s">
        <v>7</v>
      </c>
      <c r="E505" s="3" t="str">
        <f>HYPERLINK("https://springer.com/44247")</f>
        <v>https://springer.com/44247</v>
      </c>
      <c r="F505" s="2" t="s">
        <v>1040</v>
      </c>
    </row>
    <row r="506" spans="1:6" ht="12.75" customHeight="1" x14ac:dyDescent="0.3">
      <c r="A506" s="2" t="s">
        <v>1041</v>
      </c>
      <c r="B506" s="2" t="s">
        <v>17</v>
      </c>
      <c r="C506" s="4">
        <v>848.4</v>
      </c>
      <c r="D506" s="2" t="s">
        <v>7</v>
      </c>
      <c r="E506" s="3" t="str">
        <f>HYPERLINK("https://springer.com/44248")</f>
        <v>https://springer.com/44248</v>
      </c>
      <c r="F506" s="2" t="s">
        <v>1042</v>
      </c>
    </row>
    <row r="507" spans="1:6" ht="12.75" customHeight="1" x14ac:dyDescent="0.3">
      <c r="A507" s="2" t="s">
        <v>1043</v>
      </c>
      <c r="B507" s="2" t="s">
        <v>19</v>
      </c>
      <c r="C507" s="4">
        <v>848.4</v>
      </c>
      <c r="D507" s="2" t="s">
        <v>7</v>
      </c>
      <c r="E507" s="3" t="str">
        <f>HYPERLINK("https://springer.com/44250")</f>
        <v>https://springer.com/44250</v>
      </c>
      <c r="F507" s="2" t="s">
        <v>1044</v>
      </c>
    </row>
    <row r="508" spans="1:6" ht="12.75" customHeight="1" x14ac:dyDescent="0.3">
      <c r="A508" s="2" t="s">
        <v>1045</v>
      </c>
      <c r="B508" s="2" t="s">
        <v>19</v>
      </c>
      <c r="C508" s="4">
        <v>1276.8900000000001</v>
      </c>
      <c r="D508" s="2" t="s">
        <v>7</v>
      </c>
      <c r="E508" s="3" t="str">
        <f>HYPERLINK("https://springer.com/44253")</f>
        <v>https://springer.com/44253</v>
      </c>
      <c r="F508" s="2" t="s">
        <v>1046</v>
      </c>
    </row>
    <row r="509" spans="1:6" ht="12.75" customHeight="1" x14ac:dyDescent="0.3">
      <c r="A509" s="2" t="s">
        <v>1047</v>
      </c>
      <c r="B509" s="2" t="s">
        <v>24</v>
      </c>
      <c r="C509" s="4">
        <v>848.4</v>
      </c>
      <c r="D509" s="2" t="s">
        <v>7</v>
      </c>
      <c r="E509" s="3" t="str">
        <f>HYPERLINK("https://springer.com/44257")</f>
        <v>https://springer.com/44257</v>
      </c>
      <c r="F509" s="2" t="s">
        <v>1048</v>
      </c>
    </row>
    <row r="510" spans="1:6" ht="12.75" customHeight="1" x14ac:dyDescent="0.3">
      <c r="A510" s="2" t="s">
        <v>1049</v>
      </c>
      <c r="B510" s="2" t="s">
        <v>6</v>
      </c>
      <c r="C510" s="4">
        <v>2560.2199999999998</v>
      </c>
      <c r="D510" s="2" t="s">
        <v>7</v>
      </c>
      <c r="E510" s="3" t="str">
        <f>HYPERLINK("https://springer.com/44259")</f>
        <v>https://springer.com/44259</v>
      </c>
      <c r="F510" s="2" t="s">
        <v>1050</v>
      </c>
    </row>
    <row r="511" spans="1:6" ht="12.75" customHeight="1" x14ac:dyDescent="0.3">
      <c r="A511" s="2" t="s">
        <v>1051</v>
      </c>
      <c r="B511" s="2" t="s">
        <v>8</v>
      </c>
      <c r="C511" s="4">
        <v>2163.15</v>
      </c>
      <c r="D511" s="2" t="s">
        <v>7</v>
      </c>
      <c r="E511" s="3" t="str">
        <f>HYPERLINK("https://springer.com/44260")</f>
        <v>https://springer.com/44260</v>
      </c>
      <c r="F511" s="2" t="s">
        <v>1052</v>
      </c>
    </row>
    <row r="512" spans="1:6" ht="12.75" customHeight="1" x14ac:dyDescent="0.3">
      <c r="A512" s="2" t="s">
        <v>1053</v>
      </c>
      <c r="B512" s="2" t="s">
        <v>19</v>
      </c>
      <c r="C512" s="4">
        <v>1647.72</v>
      </c>
      <c r="D512" s="2" t="s">
        <v>7</v>
      </c>
      <c r="E512" s="3" t="str">
        <f>HYPERLINK("https://springer.com/44263")</f>
        <v>https://springer.com/44263</v>
      </c>
      <c r="F512" s="2" t="s">
        <v>1054</v>
      </c>
    </row>
    <row r="513" spans="1:6" ht="12.75" customHeight="1" x14ac:dyDescent="0.3">
      <c r="A513" s="2" t="s">
        <v>1055</v>
      </c>
      <c r="B513" s="2" t="s">
        <v>21</v>
      </c>
      <c r="C513" s="4">
        <v>2059.65</v>
      </c>
      <c r="D513" s="2" t="s">
        <v>7</v>
      </c>
      <c r="E513" s="3" t="str">
        <f>HYPERLINK("https://springer.com/44264")</f>
        <v>https://springer.com/44264</v>
      </c>
      <c r="F513" s="2" t="s">
        <v>1056</v>
      </c>
    </row>
    <row r="514" spans="1:6" ht="12.75" customHeight="1" x14ac:dyDescent="0.3">
      <c r="A514" s="2" t="s">
        <v>1057</v>
      </c>
      <c r="B514" s="2" t="s">
        <v>42</v>
      </c>
      <c r="C514" s="4">
        <v>1690</v>
      </c>
      <c r="D514" s="2" t="s">
        <v>7</v>
      </c>
      <c r="E514" s="3" t="str">
        <f>HYPERLINK("https://springer.com/44271")</f>
        <v>https://springer.com/44271</v>
      </c>
      <c r="F514" s="2" t="s">
        <v>1058</v>
      </c>
    </row>
    <row r="515" spans="1:6" ht="12.75" customHeight="1" x14ac:dyDescent="0.3">
      <c r="A515" s="2" t="s">
        <v>1059</v>
      </c>
      <c r="B515" s="2" t="s">
        <v>12</v>
      </c>
      <c r="C515" s="4">
        <v>1362.59</v>
      </c>
      <c r="D515" s="2" t="s">
        <v>7</v>
      </c>
      <c r="E515" s="3" t="str">
        <f>HYPERLINK("https://springer.com/44273")</f>
        <v>https://springer.com/44273</v>
      </c>
      <c r="F515" s="2" t="s">
        <v>1060</v>
      </c>
    </row>
    <row r="516" spans="1:6" ht="12.75" customHeight="1" x14ac:dyDescent="0.3">
      <c r="A516" s="2" t="s">
        <v>1061</v>
      </c>
      <c r="B516" s="2" t="s">
        <v>21</v>
      </c>
      <c r="C516" s="4">
        <v>848.4</v>
      </c>
      <c r="D516" s="2" t="s">
        <v>7</v>
      </c>
      <c r="E516" s="3" t="str">
        <f>HYPERLINK("https://springer.com/44274")</f>
        <v>https://springer.com/44274</v>
      </c>
      <c r="F516" s="2" t="s">
        <v>1062</v>
      </c>
    </row>
    <row r="517" spans="1:6" ht="12.75" customHeight="1" x14ac:dyDescent="0.3">
      <c r="A517" s="2" t="s">
        <v>1063</v>
      </c>
      <c r="B517" s="2" t="s">
        <v>10</v>
      </c>
      <c r="C517" s="4">
        <v>2131.73</v>
      </c>
      <c r="D517" s="2" t="s">
        <v>7</v>
      </c>
      <c r="E517" s="3" t="str">
        <f>HYPERLINK("https://springer.com/44276")</f>
        <v>https://springer.com/44276</v>
      </c>
      <c r="F517" s="2" t="s">
        <v>1064</v>
      </c>
    </row>
    <row r="518" spans="1:6" ht="12.75" customHeight="1" x14ac:dyDescent="0.3">
      <c r="A518" s="2" t="s">
        <v>1065</v>
      </c>
      <c r="B518" s="2" t="s">
        <v>19</v>
      </c>
      <c r="C518" s="4">
        <v>1852.65</v>
      </c>
      <c r="D518" s="2" t="s">
        <v>7</v>
      </c>
      <c r="E518" s="3" t="str">
        <f>HYPERLINK("https://springer.com/44277")</f>
        <v>https://springer.com/44277</v>
      </c>
      <c r="F518" s="2" t="s">
        <v>1066</v>
      </c>
    </row>
    <row r="519" spans="1:6" ht="12.75" customHeight="1" x14ac:dyDescent="0.3">
      <c r="A519" s="2" t="s">
        <v>1067</v>
      </c>
      <c r="B519" s="2" t="s">
        <v>6</v>
      </c>
      <c r="C519" s="4">
        <v>819.72</v>
      </c>
      <c r="D519" s="2" t="s">
        <v>7</v>
      </c>
      <c r="E519" s="3" t="str">
        <f>HYPERLINK("https://springer.com/44279")</f>
        <v>https://springer.com/44279</v>
      </c>
      <c r="F519" s="2" t="s">
        <v>1068</v>
      </c>
    </row>
    <row r="520" spans="1:6" ht="12.75" customHeight="1" x14ac:dyDescent="0.3">
      <c r="A520" s="2" t="s">
        <v>1069</v>
      </c>
      <c r="B520" s="2" t="s">
        <v>73</v>
      </c>
      <c r="C520" s="4">
        <v>848.4</v>
      </c>
      <c r="D520" s="2" t="s">
        <v>7</v>
      </c>
      <c r="E520" s="3" t="str">
        <f>HYPERLINK("https://springer.com/44282")</f>
        <v>https://springer.com/44282</v>
      </c>
      <c r="F520" s="2" t="s">
        <v>1070</v>
      </c>
    </row>
    <row r="521" spans="1:6" ht="12.75" customHeight="1" x14ac:dyDescent="0.3">
      <c r="A521" s="2" t="s">
        <v>1071</v>
      </c>
      <c r="B521" s="2" t="s">
        <v>12</v>
      </c>
      <c r="C521" s="4">
        <v>861.12</v>
      </c>
      <c r="D521" s="2" t="s">
        <v>7</v>
      </c>
      <c r="E521" s="3" t="str">
        <f>HYPERLINK("https://springer.com/44292")</f>
        <v>https://springer.com/44292</v>
      </c>
      <c r="F521" s="2" t="s">
        <v>1072</v>
      </c>
    </row>
    <row r="522" spans="1:6" ht="12.75" customHeight="1" x14ac:dyDescent="0.3">
      <c r="A522" s="2" t="s">
        <v>1073</v>
      </c>
      <c r="B522" s="2" t="s">
        <v>19</v>
      </c>
      <c r="C522" s="4">
        <v>1852.65</v>
      </c>
      <c r="D522" s="2" t="s">
        <v>7</v>
      </c>
      <c r="E522" s="3" t="str">
        <f>HYPERLINK("https://springer.com/44294")</f>
        <v>https://springer.com/44294</v>
      </c>
      <c r="F522" s="2" t="s">
        <v>1074</v>
      </c>
    </row>
    <row r="523" spans="1:6" ht="12.75" customHeight="1" x14ac:dyDescent="0.3">
      <c r="A523" s="2" t="s">
        <v>1075</v>
      </c>
      <c r="B523" s="2" t="s">
        <v>37</v>
      </c>
      <c r="C523" s="4">
        <v>1852.65</v>
      </c>
      <c r="D523" s="2" t="s">
        <v>7</v>
      </c>
      <c r="E523" s="3" t="str">
        <f>HYPERLINK("https://springer.com/44296")</f>
        <v>https://springer.com/44296</v>
      </c>
      <c r="F523" s="2" t="s">
        <v>1076</v>
      </c>
    </row>
    <row r="524" spans="1:6" ht="12.75" customHeight="1" x14ac:dyDescent="0.3">
      <c r="A524" s="2" t="s">
        <v>1077</v>
      </c>
      <c r="B524" s="2" t="s">
        <v>10</v>
      </c>
      <c r="C524" s="4">
        <v>2370.15</v>
      </c>
      <c r="D524" s="2" t="s">
        <v>7</v>
      </c>
      <c r="E524" s="3" t="str">
        <f>HYPERLINK("https://springer.com/44298")</f>
        <v>https://springer.com/44298</v>
      </c>
      <c r="F524" s="2" t="s">
        <v>1078</v>
      </c>
    </row>
    <row r="525" spans="1:6" ht="12.75" customHeight="1" x14ac:dyDescent="0.3">
      <c r="A525" s="2" t="s">
        <v>1079</v>
      </c>
      <c r="B525" s="2" t="s">
        <v>37</v>
      </c>
      <c r="C525" s="4">
        <v>1192</v>
      </c>
      <c r="D525" s="2" t="s">
        <v>7</v>
      </c>
      <c r="E525" s="3" t="str">
        <f>HYPERLINK("https://springer.com/44301")</f>
        <v>https://springer.com/44301</v>
      </c>
      <c r="F525" s="2" t="s">
        <v>1080</v>
      </c>
    </row>
    <row r="526" spans="1:6" ht="12.75" customHeight="1" x14ac:dyDescent="0.3">
      <c r="A526" s="2" t="s">
        <v>1081</v>
      </c>
      <c r="B526" s="2" t="s">
        <v>19</v>
      </c>
      <c r="C526" s="4">
        <v>2370.15</v>
      </c>
      <c r="D526" s="2" t="s">
        <v>7</v>
      </c>
      <c r="E526" s="3" t="str">
        <f>HYPERLINK("https://springer.com/44303")</f>
        <v>https://springer.com/44303</v>
      </c>
      <c r="F526" s="2" t="s">
        <v>1082</v>
      </c>
    </row>
    <row r="527" spans="1:6" ht="12.75" customHeight="1" x14ac:dyDescent="0.3">
      <c r="A527" s="2" t="s">
        <v>1083</v>
      </c>
      <c r="B527" s="2" t="s">
        <v>12</v>
      </c>
      <c r="C527" s="4">
        <v>1790</v>
      </c>
      <c r="D527" s="2" t="s">
        <v>7</v>
      </c>
      <c r="E527" s="3" t="str">
        <f>HYPERLINK("https://springer.com/44304")</f>
        <v>https://springer.com/44304</v>
      </c>
      <c r="F527" s="2" t="s">
        <v>1084</v>
      </c>
    </row>
    <row r="528" spans="1:6" ht="12.75" customHeight="1" x14ac:dyDescent="0.3">
      <c r="A528" s="2" t="s">
        <v>1085</v>
      </c>
      <c r="B528" s="2" t="s">
        <v>9</v>
      </c>
      <c r="C528" s="4">
        <v>1852.65</v>
      </c>
      <c r="D528" s="2" t="s">
        <v>7</v>
      </c>
      <c r="E528" s="3" t="str">
        <f>HYPERLINK("https://springer.com/44306")</f>
        <v>https://springer.com/44306</v>
      </c>
      <c r="F528" s="2" t="s">
        <v>1086</v>
      </c>
    </row>
    <row r="529" spans="1:6" ht="12.75" customHeight="1" x14ac:dyDescent="0.3">
      <c r="A529" s="2" t="s">
        <v>1087</v>
      </c>
      <c r="B529" s="2" t="s">
        <v>37</v>
      </c>
      <c r="C529" s="4">
        <v>1192</v>
      </c>
      <c r="D529" s="2" t="s">
        <v>7</v>
      </c>
      <c r="E529" s="3" t="str">
        <f>HYPERLINK("https://springer.com/44308")</f>
        <v>https://springer.com/44308</v>
      </c>
      <c r="F529" s="2" t="s">
        <v>1088</v>
      </c>
    </row>
    <row r="530" spans="1:6" ht="12.75" customHeight="1" x14ac:dyDescent="0.3">
      <c r="A530" s="2" t="s">
        <v>1089</v>
      </c>
      <c r="B530" s="2" t="s">
        <v>9</v>
      </c>
      <c r="C530" s="4">
        <v>1790</v>
      </c>
      <c r="D530" s="2" t="s">
        <v>7</v>
      </c>
      <c r="E530" s="3" t="str">
        <f>HYPERLINK("https://springer.com/44310")</f>
        <v>https://springer.com/44310</v>
      </c>
      <c r="F530" s="2" t="s">
        <v>1090</v>
      </c>
    </row>
    <row r="531" spans="1:6" ht="12.75" customHeight="1" x14ac:dyDescent="0.3">
      <c r="A531" s="2" t="s">
        <v>1091</v>
      </c>
      <c r="B531" s="2" t="s">
        <v>24</v>
      </c>
      <c r="C531" s="4">
        <v>1192</v>
      </c>
      <c r="D531" s="2" t="s">
        <v>7</v>
      </c>
      <c r="E531" s="3" t="str">
        <f>HYPERLINK("https://springer.com/44311")</f>
        <v>https://springer.com/44311</v>
      </c>
      <c r="F531" s="2" t="s">
        <v>1092</v>
      </c>
    </row>
    <row r="532" spans="1:6" ht="12.75" customHeight="1" x14ac:dyDescent="0.3">
      <c r="A532" s="2" t="s">
        <v>1093</v>
      </c>
      <c r="B532" s="2" t="s">
        <v>19</v>
      </c>
      <c r="C532" s="4">
        <v>1482.12</v>
      </c>
      <c r="D532" s="2" t="s">
        <v>7</v>
      </c>
      <c r="E532" s="3" t="str">
        <f>HYPERLINK("https://springer.com/44313")</f>
        <v>https://springer.com/44313</v>
      </c>
      <c r="F532" s="2" t="s">
        <v>1094</v>
      </c>
    </row>
    <row r="533" spans="1:6" ht="12.75" customHeight="1" x14ac:dyDescent="0.3">
      <c r="A533" s="2" t="s">
        <v>1095</v>
      </c>
      <c r="B533" s="2" t="s">
        <v>25</v>
      </c>
      <c r="C533" s="4">
        <v>1564.92</v>
      </c>
      <c r="D533" s="2" t="s">
        <v>7</v>
      </c>
      <c r="E533" s="3" t="str">
        <f>HYPERLINK("https://springer.com/44314")</f>
        <v>https://springer.com/44314</v>
      </c>
      <c r="F533" s="2" t="s">
        <v>1096</v>
      </c>
    </row>
    <row r="534" spans="1:6" ht="12.75" customHeight="1" x14ac:dyDescent="0.3">
      <c r="A534" s="2" t="s">
        <v>1097</v>
      </c>
      <c r="B534" s="2" t="s">
        <v>25</v>
      </c>
      <c r="C534" s="4">
        <v>1564.92</v>
      </c>
      <c r="D534" s="2" t="s">
        <v>7</v>
      </c>
      <c r="E534" s="3" t="str">
        <f>HYPERLINK("https://springer.com/44315")</f>
        <v>https://springer.com/44315</v>
      </c>
      <c r="F534" s="2" t="s">
        <v>1098</v>
      </c>
    </row>
    <row r="535" spans="1:6" ht="12.75" customHeight="1" x14ac:dyDescent="0.3">
      <c r="A535" s="2" t="s">
        <v>1099</v>
      </c>
      <c r="B535" s="2" t="s">
        <v>25</v>
      </c>
      <c r="C535" s="4">
        <v>1564.92</v>
      </c>
      <c r="D535" s="2" t="s">
        <v>7</v>
      </c>
      <c r="E535" s="3" t="str">
        <f>HYPERLINK("https://springer.com/44316")</f>
        <v>https://springer.com/44316</v>
      </c>
      <c r="F535" s="2" t="s">
        <v>1100</v>
      </c>
    </row>
    <row r="536" spans="1:6" ht="12.75" customHeight="1" x14ac:dyDescent="0.3">
      <c r="A536" s="2" t="s">
        <v>1101</v>
      </c>
      <c r="B536" s="2" t="s">
        <v>6</v>
      </c>
      <c r="C536" s="4">
        <v>6717.15</v>
      </c>
      <c r="D536" s="2" t="s">
        <v>117</v>
      </c>
      <c r="E536" s="3" t="str">
        <f>HYPERLINK("https://springer.com/44318")</f>
        <v>https://springer.com/44318</v>
      </c>
      <c r="F536" s="2" t="s">
        <v>1102</v>
      </c>
    </row>
    <row r="537" spans="1:6" ht="12.75" customHeight="1" x14ac:dyDescent="0.3">
      <c r="A537" s="2" t="s">
        <v>1103</v>
      </c>
      <c r="B537" s="2" t="s">
        <v>6</v>
      </c>
      <c r="C537" s="4">
        <v>6717.15</v>
      </c>
      <c r="D537" s="2" t="s">
        <v>117</v>
      </c>
      <c r="E537" s="3" t="str">
        <f>HYPERLINK("https://springer.com/44319")</f>
        <v>https://springer.com/44319</v>
      </c>
      <c r="F537" s="2" t="s">
        <v>1104</v>
      </c>
    </row>
    <row r="538" spans="1:6" ht="12.75" customHeight="1" x14ac:dyDescent="0.3">
      <c r="A538" s="2" t="s">
        <v>1105</v>
      </c>
      <c r="B538" s="2" t="s">
        <v>6</v>
      </c>
      <c r="C538" s="4">
        <v>6717.15</v>
      </c>
      <c r="D538" s="2" t="s">
        <v>117</v>
      </c>
      <c r="E538" s="3" t="str">
        <f>HYPERLINK("https://springer.com/44320")</f>
        <v>https://springer.com/44320</v>
      </c>
      <c r="F538" s="2" t="s">
        <v>1106</v>
      </c>
    </row>
    <row r="539" spans="1:6" ht="12.75" customHeight="1" x14ac:dyDescent="0.3">
      <c r="A539" s="2" t="s">
        <v>1107</v>
      </c>
      <c r="B539" s="2" t="s">
        <v>10</v>
      </c>
      <c r="C539" s="4">
        <v>6717.15</v>
      </c>
      <c r="D539" s="2" t="s">
        <v>117</v>
      </c>
      <c r="E539" s="3" t="str">
        <f>HYPERLINK("https://springer.com/44321")</f>
        <v>https://springer.com/44321</v>
      </c>
      <c r="F539" s="2" t="s">
        <v>1108</v>
      </c>
    </row>
    <row r="540" spans="1:6" ht="12.75" customHeight="1" x14ac:dyDescent="0.3">
      <c r="A540" s="2" t="s">
        <v>1109</v>
      </c>
      <c r="B540" s="2" t="s">
        <v>68</v>
      </c>
      <c r="C540" s="4">
        <v>1647.72</v>
      </c>
      <c r="D540" s="2" t="s">
        <v>7</v>
      </c>
      <c r="E540" s="3" t="str">
        <f>HYPERLINK("https://springer.com/44322")</f>
        <v>https://springer.com/44322</v>
      </c>
      <c r="F540" s="2" t="s">
        <v>1110</v>
      </c>
    </row>
    <row r="541" spans="1:6" ht="12.75" customHeight="1" x14ac:dyDescent="0.3">
      <c r="A541" s="2" t="s">
        <v>1111</v>
      </c>
      <c r="B541" s="2" t="s">
        <v>10</v>
      </c>
      <c r="C541" s="4">
        <v>2163.15</v>
      </c>
      <c r="D541" s="2" t="s">
        <v>7</v>
      </c>
      <c r="E541" s="3" t="str">
        <f>HYPERLINK("https://springer.com/44323")</f>
        <v>https://springer.com/44323</v>
      </c>
      <c r="F541" s="2" t="s">
        <v>1112</v>
      </c>
    </row>
    <row r="542" spans="1:6" ht="12.75" customHeight="1" x14ac:dyDescent="0.3">
      <c r="A542" s="2" t="s">
        <v>1113</v>
      </c>
      <c r="B542" s="2" t="s">
        <v>19</v>
      </c>
      <c r="C542" s="4">
        <v>2163.15</v>
      </c>
      <c r="D542" s="2" t="s">
        <v>7</v>
      </c>
      <c r="E542" s="3" t="str">
        <f>HYPERLINK("https://springer.com/44324")</f>
        <v>https://springer.com/44324</v>
      </c>
      <c r="F542" s="2" t="s">
        <v>1114</v>
      </c>
    </row>
    <row r="543" spans="1:6" ht="12.75" customHeight="1" x14ac:dyDescent="0.3">
      <c r="A543" s="2" t="s">
        <v>1115</v>
      </c>
      <c r="B543" s="2" t="s">
        <v>6</v>
      </c>
      <c r="C543" s="4">
        <v>2163.15</v>
      </c>
      <c r="D543" s="2" t="s">
        <v>7</v>
      </c>
      <c r="E543" s="3" t="str">
        <f>HYPERLINK("https://springer.com/44325")</f>
        <v>https://springer.com/44325</v>
      </c>
      <c r="F543" s="2" t="s">
        <v>1116</v>
      </c>
    </row>
    <row r="544" spans="1:6" ht="12.75" customHeight="1" x14ac:dyDescent="0.3">
      <c r="A544" s="2" t="s">
        <v>1117</v>
      </c>
      <c r="B544" s="2" t="s">
        <v>19</v>
      </c>
      <c r="C544" s="4">
        <v>1564.92</v>
      </c>
      <c r="D544" s="2" t="s">
        <v>7</v>
      </c>
      <c r="E544" s="3" t="str">
        <f>HYPERLINK("https://springer.com/44326")</f>
        <v>https://springer.com/44326</v>
      </c>
      <c r="F544" s="2" t="s">
        <v>1118</v>
      </c>
    </row>
    <row r="545" spans="1:6" ht="12.75" customHeight="1" x14ac:dyDescent="0.3">
      <c r="A545" s="2" t="s">
        <v>1119</v>
      </c>
      <c r="B545" s="2" t="s">
        <v>9</v>
      </c>
      <c r="C545" s="4">
        <v>2163.15</v>
      </c>
      <c r="D545" s="2" t="s">
        <v>7</v>
      </c>
      <c r="E545" s="3" t="str">
        <f>HYPERLINK("https://springer.com/44328")</f>
        <v>https://springer.com/44328</v>
      </c>
      <c r="F545" s="2" t="s">
        <v>1120</v>
      </c>
    </row>
    <row r="546" spans="1:6" ht="12.75" customHeight="1" x14ac:dyDescent="0.3">
      <c r="A546" s="2" t="s">
        <v>1121</v>
      </c>
      <c r="B546" s="2" t="s">
        <v>12</v>
      </c>
      <c r="C546" s="4">
        <v>1233.72</v>
      </c>
      <c r="D546" s="2" t="s">
        <v>7</v>
      </c>
      <c r="E546" s="3" t="str">
        <f>HYPERLINK("https://springer.com/44329")</f>
        <v>https://springer.com/44329</v>
      </c>
      <c r="F546" s="2" t="s">
        <v>1122</v>
      </c>
    </row>
    <row r="547" spans="1:6" ht="12.75" customHeight="1" x14ac:dyDescent="0.3">
      <c r="A547" s="2" t="s">
        <v>1123</v>
      </c>
      <c r="B547" s="2" t="s">
        <v>10</v>
      </c>
      <c r="C547" s="4">
        <v>985.32</v>
      </c>
      <c r="D547" s="2" t="s">
        <v>7</v>
      </c>
      <c r="E547" s="3" t="str">
        <f>HYPERLINK("https://springer.com/44330")</f>
        <v>https://springer.com/44330</v>
      </c>
      <c r="F547" s="2" t="s">
        <v>1124</v>
      </c>
    </row>
    <row r="548" spans="1:6" ht="12.75" customHeight="1" x14ac:dyDescent="0.3">
      <c r="A548" s="2" t="s">
        <v>1125</v>
      </c>
      <c r="B548" s="2" t="s">
        <v>37</v>
      </c>
      <c r="C548" s="4">
        <v>1192</v>
      </c>
      <c r="D548" s="2" t="s">
        <v>7</v>
      </c>
      <c r="E548" s="3" t="str">
        <f>HYPERLINK("https://springer.com/44331")</f>
        <v>https://springer.com/44331</v>
      </c>
      <c r="F548" s="2" t="s">
        <v>1126</v>
      </c>
    </row>
    <row r="549" spans="1:6" ht="12.75" customHeight="1" x14ac:dyDescent="0.3">
      <c r="A549" s="2" t="s">
        <v>1127</v>
      </c>
      <c r="B549" s="2" t="s">
        <v>552</v>
      </c>
      <c r="C549" s="4">
        <v>2163.15</v>
      </c>
      <c r="D549" s="2" t="s">
        <v>7</v>
      </c>
      <c r="E549" s="3" t="str">
        <f>HYPERLINK("https://springer.com/44333")</f>
        <v>https://springer.com/44333</v>
      </c>
      <c r="F549" s="2" t="s">
        <v>1128</v>
      </c>
    </row>
    <row r="550" spans="1:6" ht="12.75" customHeight="1" x14ac:dyDescent="0.3">
      <c r="A550" s="2" t="s">
        <v>1129</v>
      </c>
      <c r="B550" s="2" t="s">
        <v>552</v>
      </c>
      <c r="C550" s="4">
        <v>2090</v>
      </c>
      <c r="D550" s="2" t="s">
        <v>7</v>
      </c>
      <c r="E550" s="3" t="str">
        <f>HYPERLINK("https://springer.com/44334")</f>
        <v>https://springer.com/44334</v>
      </c>
      <c r="F550" s="2" t="s">
        <v>1130</v>
      </c>
    </row>
    <row r="551" spans="1:6" ht="12.75" customHeight="1" x14ac:dyDescent="0.3">
      <c r="A551" s="2" t="s">
        <v>1131</v>
      </c>
      <c r="B551" s="2" t="s">
        <v>552</v>
      </c>
      <c r="C551" s="4">
        <v>2163.15</v>
      </c>
      <c r="D551" s="2" t="s">
        <v>7</v>
      </c>
      <c r="E551" s="3" t="str">
        <f>HYPERLINK("https://springer.com/44335")</f>
        <v>https://springer.com/44335</v>
      </c>
      <c r="F551" s="2" t="s">
        <v>1132</v>
      </c>
    </row>
    <row r="552" spans="1:6" ht="12.75" customHeight="1" x14ac:dyDescent="0.3">
      <c r="A552" s="2" t="s">
        <v>1133</v>
      </c>
      <c r="B552" s="2" t="s">
        <v>10</v>
      </c>
      <c r="C552" s="4">
        <v>792</v>
      </c>
      <c r="D552" s="2" t="s">
        <v>7</v>
      </c>
      <c r="E552" s="3" t="str">
        <f>HYPERLINK("https://springer.com/44337")</f>
        <v>https://springer.com/44337</v>
      </c>
      <c r="F552" s="2" t="s">
        <v>1134</v>
      </c>
    </row>
    <row r="553" spans="1:6" ht="12.75" customHeight="1" x14ac:dyDescent="0.3">
      <c r="A553" s="2" t="s">
        <v>1135</v>
      </c>
      <c r="B553" s="2" t="s">
        <v>6</v>
      </c>
      <c r="C553" s="4">
        <v>792</v>
      </c>
      <c r="D553" s="2" t="s">
        <v>7</v>
      </c>
      <c r="E553" s="3" t="str">
        <f>HYPERLINK("https://springer.com/44338")</f>
        <v>https://springer.com/44338</v>
      </c>
      <c r="F553" s="2" t="s">
        <v>1136</v>
      </c>
    </row>
    <row r="554" spans="1:6" ht="12.75" customHeight="1" x14ac:dyDescent="0.3">
      <c r="A554" s="2" t="s">
        <v>1137</v>
      </c>
      <c r="B554" s="2" t="s">
        <v>10</v>
      </c>
      <c r="C554" s="4">
        <v>819.72</v>
      </c>
      <c r="D554" s="2" t="s">
        <v>7</v>
      </c>
      <c r="E554" s="3" t="str">
        <f>HYPERLINK("https://springer.com/44339")</f>
        <v>https://springer.com/44339</v>
      </c>
      <c r="F554" s="2" t="s">
        <v>1138</v>
      </c>
    </row>
    <row r="555" spans="1:6" ht="12.75" customHeight="1" x14ac:dyDescent="0.3">
      <c r="A555" s="2" t="s">
        <v>1139</v>
      </c>
      <c r="B555" s="2" t="s">
        <v>25</v>
      </c>
      <c r="C555" s="4">
        <v>792</v>
      </c>
      <c r="D555" s="2" t="s">
        <v>7</v>
      </c>
      <c r="E555" s="3" t="str">
        <f>HYPERLINK("https://springer.com/44340")</f>
        <v>https://springer.com/44340</v>
      </c>
      <c r="F555" s="2" t="s">
        <v>1140</v>
      </c>
    </row>
    <row r="556" spans="1:6" ht="12.75" customHeight="1" x14ac:dyDescent="0.3">
      <c r="A556" s="2" t="s">
        <v>1141</v>
      </c>
      <c r="B556" s="2" t="s">
        <v>9</v>
      </c>
      <c r="C556" s="4">
        <v>2090</v>
      </c>
      <c r="D556" s="2" t="s">
        <v>7</v>
      </c>
      <c r="E556" s="3" t="str">
        <f>HYPERLINK("https://springer.com/44341")</f>
        <v>https://springer.com/44341</v>
      </c>
      <c r="F556" s="2" t="s">
        <v>1142</v>
      </c>
    </row>
    <row r="557" spans="1:6" ht="12.75" customHeight="1" x14ac:dyDescent="0.3">
      <c r="A557" s="2" t="s">
        <v>1143</v>
      </c>
      <c r="B557" s="2" t="s">
        <v>6</v>
      </c>
      <c r="C557" s="4">
        <v>1564.92</v>
      </c>
      <c r="D557" s="2" t="s">
        <v>7</v>
      </c>
      <c r="E557" s="3" t="str">
        <f>HYPERLINK("https://springer.com/44342")</f>
        <v>https://springer.com/44342</v>
      </c>
      <c r="F557" s="2" t="s">
        <v>1144</v>
      </c>
    </row>
    <row r="558" spans="1:6" ht="12.75" customHeight="1" x14ac:dyDescent="0.3">
      <c r="A558" s="2" t="s">
        <v>1145</v>
      </c>
      <c r="B558" s="2" t="s">
        <v>19</v>
      </c>
      <c r="C558" s="4">
        <v>1352</v>
      </c>
      <c r="D558" s="2" t="s">
        <v>7</v>
      </c>
      <c r="E558" s="3" t="str">
        <f>HYPERLINK("https://springer.com/44343")</f>
        <v>https://springer.com/44343</v>
      </c>
      <c r="F558" s="2" t="s">
        <v>1146</v>
      </c>
    </row>
    <row r="559" spans="1:6" ht="12.75" customHeight="1" x14ac:dyDescent="0.3">
      <c r="A559" s="2" t="s">
        <v>1147</v>
      </c>
      <c r="B559" s="2" t="s">
        <v>25</v>
      </c>
      <c r="C559" s="4">
        <v>792</v>
      </c>
      <c r="D559" s="2" t="s">
        <v>7</v>
      </c>
      <c r="E559" s="3" t="str">
        <f>HYPERLINK("https://springer.com/44344")</f>
        <v>https://springer.com/44344</v>
      </c>
      <c r="F559" s="2" t="s">
        <v>1148</v>
      </c>
    </row>
    <row r="560" spans="1:6" ht="12.75" customHeight="1" x14ac:dyDescent="0.3">
      <c r="A560" s="2" t="s">
        <v>1149</v>
      </c>
      <c r="B560" s="2" t="s">
        <v>25</v>
      </c>
      <c r="C560" s="4">
        <v>819.72</v>
      </c>
      <c r="D560" s="2" t="s">
        <v>7</v>
      </c>
      <c r="E560" s="3" t="str">
        <f>HYPERLINK("https://springer.com/44345")</f>
        <v>https://springer.com/44345</v>
      </c>
      <c r="F560" s="2" t="s">
        <v>1150</v>
      </c>
    </row>
    <row r="561" spans="1:6" ht="12.75" customHeight="1" x14ac:dyDescent="0.3">
      <c r="A561" s="2" t="s">
        <v>1151</v>
      </c>
      <c r="B561" s="2" t="s">
        <v>12</v>
      </c>
      <c r="C561" s="4">
        <v>792</v>
      </c>
      <c r="D561" s="2" t="s">
        <v>7</v>
      </c>
      <c r="E561" s="3" t="str">
        <f>HYPERLINK("https://springer.com/44346")</f>
        <v>https://springer.com/44346</v>
      </c>
      <c r="F561" s="2" t="s">
        <v>1152</v>
      </c>
    </row>
    <row r="562" spans="1:6" ht="12.75" customHeight="1" x14ac:dyDescent="0.3">
      <c r="A562" s="2" t="s">
        <v>1153</v>
      </c>
      <c r="B562" s="2" t="s">
        <v>25</v>
      </c>
      <c r="C562" s="4">
        <v>819.72</v>
      </c>
      <c r="D562" s="2" t="s">
        <v>7</v>
      </c>
      <c r="E562" s="3" t="str">
        <f>HYPERLINK("https://springer.com/44347")</f>
        <v>https://springer.com/44347</v>
      </c>
      <c r="F562" s="2" t="s">
        <v>1154</v>
      </c>
    </row>
    <row r="563" spans="1:6" ht="12.75" customHeight="1" x14ac:dyDescent="0.3">
      <c r="A563" s="2" t="s">
        <v>1155</v>
      </c>
      <c r="B563" s="2" t="s">
        <v>19</v>
      </c>
      <c r="C563" s="4">
        <v>1482.12</v>
      </c>
      <c r="D563" s="2" t="s">
        <v>7</v>
      </c>
      <c r="E563" s="3" t="str">
        <f>HYPERLINK("https://springer.com/44348")</f>
        <v>https://springer.com/44348</v>
      </c>
      <c r="F563" s="2" t="s">
        <v>1156</v>
      </c>
    </row>
    <row r="564" spans="1:6" ht="12.75" customHeight="1" x14ac:dyDescent="0.3">
      <c r="A564" s="2" t="s">
        <v>1157</v>
      </c>
      <c r="B564" s="2" t="s">
        <v>6</v>
      </c>
      <c r="C564" s="4">
        <v>1352</v>
      </c>
      <c r="D564" s="2" t="s">
        <v>7</v>
      </c>
      <c r="E564" s="3" t="str">
        <f>HYPERLINK("https://springer.com/44350")</f>
        <v>https://springer.com/44350</v>
      </c>
      <c r="F564" s="2" t="s">
        <v>1158</v>
      </c>
    </row>
    <row r="565" spans="1:6" ht="12.75" customHeight="1" x14ac:dyDescent="0.3">
      <c r="A565" s="2" t="s">
        <v>1159</v>
      </c>
      <c r="B565" s="2" t="s">
        <v>6</v>
      </c>
      <c r="C565" s="4">
        <v>819.72</v>
      </c>
      <c r="D565" s="2" t="s">
        <v>7</v>
      </c>
      <c r="E565" s="3" t="str">
        <f>HYPERLINK("https://springer.com/44351")</f>
        <v>https://springer.com/44351</v>
      </c>
      <c r="F565" s="2" t="s">
        <v>1160</v>
      </c>
    </row>
    <row r="566" spans="1:6" ht="12.75" customHeight="1" x14ac:dyDescent="0.3">
      <c r="A566" s="2" t="s">
        <v>1161</v>
      </c>
      <c r="B566" s="2" t="s">
        <v>19</v>
      </c>
      <c r="C566" s="4">
        <v>819.72</v>
      </c>
      <c r="D566" s="2" t="s">
        <v>7</v>
      </c>
      <c r="E566" s="3" t="str">
        <f>HYPERLINK("https://springer.com/44352")</f>
        <v>https://springer.com/44352</v>
      </c>
      <c r="F566" s="2" t="s">
        <v>1162</v>
      </c>
    </row>
    <row r="567" spans="1:6" ht="12.75" customHeight="1" x14ac:dyDescent="0.3">
      <c r="A567" s="2" t="s">
        <v>1163</v>
      </c>
      <c r="B567" s="2" t="s">
        <v>21</v>
      </c>
      <c r="C567" s="4">
        <v>819.72</v>
      </c>
      <c r="D567" s="2" t="s">
        <v>7</v>
      </c>
      <c r="E567" s="3" t="str">
        <f>HYPERLINK("https://springer.com/44353")</f>
        <v>https://springer.com/44353</v>
      </c>
      <c r="F567" s="2" t="s">
        <v>1164</v>
      </c>
    </row>
    <row r="568" spans="1:6" ht="12.75" customHeight="1" x14ac:dyDescent="0.3">
      <c r="A568" s="2" t="s">
        <v>1165</v>
      </c>
      <c r="B568" s="2" t="s">
        <v>19</v>
      </c>
      <c r="C568" s="4">
        <v>2390</v>
      </c>
      <c r="D568" s="2" t="s">
        <v>7</v>
      </c>
      <c r="E568" s="3" t="str">
        <f>HYPERLINK("https://springer.com/44355")</f>
        <v>https://springer.com/44355</v>
      </c>
      <c r="F568" s="2" t="s">
        <v>1166</v>
      </c>
    </row>
    <row r="569" spans="1:6" ht="12.75" customHeight="1" x14ac:dyDescent="0.3">
      <c r="A569" s="2" t="s">
        <v>1167</v>
      </c>
      <c r="B569" s="2" t="s">
        <v>10</v>
      </c>
      <c r="C569" s="4">
        <v>1672</v>
      </c>
      <c r="D569" s="2" t="s">
        <v>7</v>
      </c>
      <c r="E569" s="3" t="str">
        <f>HYPERLINK("https://springer.com/44356")</f>
        <v>https://springer.com/44356</v>
      </c>
      <c r="F569" s="2" t="s">
        <v>1168</v>
      </c>
    </row>
    <row r="570" spans="1:6" ht="12.75" customHeight="1" x14ac:dyDescent="0.3">
      <c r="A570" s="2" t="s">
        <v>1169</v>
      </c>
      <c r="B570" s="2" t="s">
        <v>6</v>
      </c>
      <c r="C570" s="4">
        <v>1352</v>
      </c>
      <c r="D570" s="2" t="s">
        <v>7</v>
      </c>
      <c r="E570" s="3" t="str">
        <f>HYPERLINK("https://springer.com/44363")</f>
        <v>https://springer.com/44363</v>
      </c>
      <c r="F570" s="2" t="s">
        <v>1170</v>
      </c>
    </row>
    <row r="571" spans="1:6" ht="12.75" customHeight="1" x14ac:dyDescent="0.3">
      <c r="A571" s="2" t="s">
        <v>1171</v>
      </c>
      <c r="B571" s="2" t="s">
        <v>6</v>
      </c>
      <c r="C571" s="4">
        <v>1352</v>
      </c>
      <c r="D571" s="2" t="s">
        <v>7</v>
      </c>
      <c r="E571" s="3" t="str">
        <f>HYPERLINK("https://springer.com/44364")</f>
        <v>https://springer.com/44364</v>
      </c>
      <c r="F571" s="2" t="s">
        <v>1172</v>
      </c>
    </row>
    <row r="572" spans="1:6" ht="12.75" customHeight="1" x14ac:dyDescent="0.3">
      <c r="A572" s="2" t="s">
        <v>1173</v>
      </c>
      <c r="B572" s="2" t="s">
        <v>6</v>
      </c>
      <c r="C572" s="4">
        <v>1352</v>
      </c>
      <c r="D572" s="2" t="s">
        <v>7</v>
      </c>
      <c r="E572" s="3" t="str">
        <f>HYPERLINK("https://springer.com/44365")</f>
        <v>https://springer.com/44365</v>
      </c>
      <c r="F572" s="2" t="s">
        <v>1174</v>
      </c>
    </row>
    <row r="573" spans="1:6" ht="12.75" customHeight="1" x14ac:dyDescent="0.3">
      <c r="A573" s="2" t="s">
        <v>1175</v>
      </c>
      <c r="B573" s="2" t="s">
        <v>12</v>
      </c>
      <c r="C573" s="4">
        <v>1248</v>
      </c>
      <c r="D573" s="2" t="s">
        <v>7</v>
      </c>
      <c r="E573" s="3" t="str">
        <f>HYPERLINK("https://springer.com/44367")</f>
        <v>https://springer.com/44367</v>
      </c>
      <c r="F573" s="2" t="s">
        <v>1176</v>
      </c>
    </row>
    <row r="574" spans="1:6" ht="12.75" customHeight="1" x14ac:dyDescent="0.3">
      <c r="A574" s="2" t="s">
        <v>1177</v>
      </c>
      <c r="B574" s="2" t="s">
        <v>10</v>
      </c>
      <c r="C574" s="4">
        <v>832</v>
      </c>
      <c r="D574" s="2" t="s">
        <v>7</v>
      </c>
      <c r="E574" s="3" t="str">
        <f>HYPERLINK("https://springer.com/44368")</f>
        <v>https://springer.com/44368</v>
      </c>
      <c r="F574" s="2" t="s">
        <v>1178</v>
      </c>
    </row>
    <row r="575" spans="1:6" ht="12.75" customHeight="1" x14ac:dyDescent="0.3">
      <c r="A575" s="2" t="s">
        <v>1179</v>
      </c>
      <c r="B575" s="2" t="s">
        <v>9</v>
      </c>
      <c r="C575" s="4">
        <v>952</v>
      </c>
      <c r="D575" s="2" t="s">
        <v>7</v>
      </c>
      <c r="E575" s="3" t="str">
        <f>HYPERLINK("https://springer.com/44369")</f>
        <v>https://springer.com/44369</v>
      </c>
      <c r="F575" s="2" t="s">
        <v>1180</v>
      </c>
    </row>
    <row r="576" spans="1:6" ht="12.75" customHeight="1" x14ac:dyDescent="0.3">
      <c r="A576" s="2" t="s">
        <v>1181</v>
      </c>
      <c r="B576" s="2" t="s">
        <v>10</v>
      </c>
      <c r="C576" s="4">
        <v>832</v>
      </c>
      <c r="D576" s="2" t="s">
        <v>7</v>
      </c>
      <c r="E576" s="3" t="str">
        <f>HYPERLINK("https://springer.com/44370")</f>
        <v>https://springer.com/44370</v>
      </c>
      <c r="F576" s="2" t="s">
        <v>1182</v>
      </c>
    </row>
    <row r="577" spans="1:6" ht="12.75" customHeight="1" x14ac:dyDescent="0.3">
      <c r="A577" s="2" t="s">
        <v>1183</v>
      </c>
      <c r="B577" s="2" t="s">
        <v>16</v>
      </c>
      <c r="C577" s="4">
        <v>1233.72</v>
      </c>
      <c r="D577" s="2" t="s">
        <v>7</v>
      </c>
      <c r="E577" s="3" t="str">
        <f>HYPERLINK("https://springer.com/44374")</f>
        <v>https://springer.com/44374</v>
      </c>
      <c r="F577" s="2" t="s">
        <v>1184</v>
      </c>
    </row>
    <row r="578" spans="1:6" ht="12.75" customHeight="1" x14ac:dyDescent="0.3">
      <c r="A578" s="2" t="s">
        <v>1185</v>
      </c>
      <c r="B578" s="2" t="s">
        <v>12</v>
      </c>
      <c r="C578" s="4">
        <v>1352</v>
      </c>
      <c r="D578" s="2" t="s">
        <v>7</v>
      </c>
      <c r="E578" s="3" t="str">
        <f>HYPERLINK("https://springer.com/44375")</f>
        <v>https://springer.com/44375</v>
      </c>
      <c r="F578" s="2" t="s">
        <v>1186</v>
      </c>
    </row>
    <row r="579" spans="1:6" ht="12.75" customHeight="1" x14ac:dyDescent="0.3">
      <c r="A579" s="2" t="s">
        <v>1187</v>
      </c>
      <c r="B579" s="2" t="s">
        <v>6</v>
      </c>
      <c r="C579" s="4">
        <v>1352</v>
      </c>
      <c r="D579" s="2" t="s">
        <v>7</v>
      </c>
      <c r="E579" s="3" t="str">
        <f>HYPERLINK("https://springer.com/44377")</f>
        <v>https://springer.com/44377</v>
      </c>
      <c r="F579" s="2" t="s">
        <v>1188</v>
      </c>
    </row>
    <row r="580" spans="1:6" ht="12.75" customHeight="1" x14ac:dyDescent="0.3">
      <c r="A580" s="2" t="s">
        <v>1189</v>
      </c>
      <c r="B580" s="2" t="s">
        <v>6</v>
      </c>
      <c r="C580" s="4">
        <v>2190</v>
      </c>
      <c r="D580" s="2" t="s">
        <v>7</v>
      </c>
      <c r="E580" s="3" t="str">
        <f>HYPERLINK("https://springer.com/44383")</f>
        <v>https://springer.com/44383</v>
      </c>
      <c r="F580" s="2" t="s">
        <v>1190</v>
      </c>
    </row>
    <row r="581" spans="1:6" ht="12.75" customHeight="1" x14ac:dyDescent="0.3">
      <c r="A581" s="2" t="s">
        <v>1191</v>
      </c>
      <c r="B581" s="2" t="s">
        <v>9</v>
      </c>
      <c r="C581" s="4">
        <v>2090</v>
      </c>
      <c r="D581" s="2" t="s">
        <v>7</v>
      </c>
      <c r="E581" s="3" t="str">
        <f>HYPERLINK("https://springer.com/44384")</f>
        <v>https://springer.com/44384</v>
      </c>
      <c r="F581" s="2" t="s">
        <v>1192</v>
      </c>
    </row>
    <row r="582" spans="1:6" ht="12.75" customHeight="1" x14ac:dyDescent="0.3">
      <c r="A582" s="2" t="s">
        <v>1193</v>
      </c>
      <c r="B582" s="2" t="s">
        <v>10</v>
      </c>
      <c r="C582" s="4">
        <v>2290</v>
      </c>
      <c r="D582" s="2" t="s">
        <v>7</v>
      </c>
      <c r="E582" s="3" t="str">
        <f>HYPERLINK("https://springer.com/44385")</f>
        <v>https://springer.com/44385</v>
      </c>
      <c r="F582" s="2" t="s">
        <v>1194</v>
      </c>
    </row>
    <row r="583" spans="1:6" ht="12.75" customHeight="1" x14ac:dyDescent="0.3">
      <c r="A583" s="2" t="s">
        <v>1195</v>
      </c>
      <c r="B583" s="2" t="s">
        <v>10</v>
      </c>
      <c r="C583" s="4">
        <v>2490</v>
      </c>
      <c r="D583" s="2" t="s">
        <v>7</v>
      </c>
      <c r="E583" s="3" t="str">
        <f>HYPERLINK("https://springer.com/44386")</f>
        <v>https://springer.com/44386</v>
      </c>
      <c r="F583" s="2" t="s">
        <v>1196</v>
      </c>
    </row>
    <row r="584" spans="1:6" ht="12.75" customHeight="1" x14ac:dyDescent="0.3">
      <c r="A584" s="2" t="s">
        <v>1197</v>
      </c>
      <c r="B584" s="2" t="s">
        <v>17</v>
      </c>
      <c r="C584" s="4">
        <v>2190</v>
      </c>
      <c r="D584" s="2" t="s">
        <v>7</v>
      </c>
      <c r="E584" s="3" t="str">
        <f>HYPERLINK("https://springer.com/44387")</f>
        <v>https://springer.com/44387</v>
      </c>
      <c r="F584" s="2" t="s">
        <v>1198</v>
      </c>
    </row>
    <row r="585" spans="1:6" ht="12.75" customHeight="1" x14ac:dyDescent="0.3">
      <c r="A585" s="2" t="s">
        <v>1199</v>
      </c>
      <c r="B585" s="2" t="s">
        <v>12</v>
      </c>
      <c r="C585" s="4"/>
      <c r="D585" s="2" t="s">
        <v>7</v>
      </c>
      <c r="E585" s="3" t="str">
        <f>HYPERLINK("https://springer.com/44393")</f>
        <v>https://springer.com/44393</v>
      </c>
      <c r="F585" s="2" t="s">
        <v>1200</v>
      </c>
    </row>
    <row r="586" spans="1:6" ht="12.75" customHeight="1" x14ac:dyDescent="0.3">
      <c r="A586" s="2" t="s">
        <v>1201</v>
      </c>
      <c r="B586" s="2" t="s">
        <v>12</v>
      </c>
      <c r="C586" s="4"/>
      <c r="D586" s="2" t="s">
        <v>7</v>
      </c>
      <c r="E586" s="3" t="str">
        <f>HYPERLINK("https://springer.com/44394")</f>
        <v>https://springer.com/44394</v>
      </c>
      <c r="F586" s="2" t="s">
        <v>1202</v>
      </c>
    </row>
    <row r="587" spans="1:6" ht="12.75" customHeight="1" x14ac:dyDescent="0.3">
      <c r="A587" s="2" t="s">
        <v>1203</v>
      </c>
      <c r="B587" s="2" t="s">
        <v>10</v>
      </c>
      <c r="C587" s="4">
        <v>832</v>
      </c>
      <c r="D587" s="2" t="s">
        <v>7</v>
      </c>
      <c r="E587" s="3" t="str">
        <f>HYPERLINK("https://springer.com/44395")</f>
        <v>https://springer.com/44395</v>
      </c>
      <c r="F587" s="2" t="s">
        <v>1204</v>
      </c>
    </row>
    <row r="588" spans="1:6" ht="12.75" customHeight="1" x14ac:dyDescent="0.3">
      <c r="A588" s="2" t="s">
        <v>1205</v>
      </c>
      <c r="B588" s="2" t="s">
        <v>6</v>
      </c>
      <c r="C588" s="4">
        <v>832</v>
      </c>
      <c r="D588" s="2" t="s">
        <v>7</v>
      </c>
      <c r="E588" s="3" t="str">
        <f>HYPERLINK("https://springer.com/44396")</f>
        <v>https://springer.com/44396</v>
      </c>
      <c r="F588" s="2" t="s">
        <v>1206</v>
      </c>
    </row>
    <row r="589" spans="1:6" ht="12.75" customHeight="1" x14ac:dyDescent="0.3">
      <c r="A589" s="2" t="s">
        <v>1207</v>
      </c>
      <c r="B589" s="2" t="s">
        <v>17</v>
      </c>
      <c r="C589" s="4">
        <v>1352</v>
      </c>
      <c r="D589" s="2" t="s">
        <v>7</v>
      </c>
      <c r="E589" s="3" t="str">
        <f>HYPERLINK("https://springer.com/44398")</f>
        <v>https://springer.com/44398</v>
      </c>
      <c r="F589" s="2" t="s">
        <v>1208</v>
      </c>
    </row>
    <row r="590" spans="1:6" ht="12.75" customHeight="1" x14ac:dyDescent="0.3">
      <c r="A590" s="2" t="s">
        <v>1209</v>
      </c>
      <c r="B590" s="2" t="s">
        <v>6</v>
      </c>
      <c r="C590" s="4">
        <v>1352</v>
      </c>
      <c r="D590" s="2" t="s">
        <v>7</v>
      </c>
      <c r="E590" s="3" t="str">
        <f>HYPERLINK("https://springer.com/44399")</f>
        <v>https://springer.com/44399</v>
      </c>
      <c r="F590" s="2" t="s">
        <v>1210</v>
      </c>
    </row>
    <row r="591" spans="1:6" ht="12.75" customHeight="1" x14ac:dyDescent="0.3">
      <c r="A591" s="2" t="s">
        <v>1211</v>
      </c>
      <c r="B591" s="2" t="s">
        <v>10</v>
      </c>
      <c r="C591" s="4">
        <v>2190</v>
      </c>
      <c r="D591" s="2" t="s">
        <v>7</v>
      </c>
      <c r="E591" s="3" t="str">
        <f>HYPERLINK("https://springer.com/44400")</f>
        <v>https://springer.com/44400</v>
      </c>
      <c r="F591" s="2" t="s">
        <v>1212</v>
      </c>
    </row>
    <row r="592" spans="1:6" ht="12.75" customHeight="1" x14ac:dyDescent="0.3">
      <c r="A592" s="2" t="s">
        <v>1213</v>
      </c>
      <c r="B592" s="2" t="s">
        <v>19</v>
      </c>
      <c r="C592" s="4">
        <v>2390</v>
      </c>
      <c r="D592" s="2" t="s">
        <v>7</v>
      </c>
      <c r="E592" s="3" t="str">
        <f>HYPERLINK("https://springer.com/44401")</f>
        <v>https://springer.com/44401</v>
      </c>
      <c r="F592" s="2" t="s">
        <v>1214</v>
      </c>
    </row>
    <row r="593" spans="1:6" ht="12.75" customHeight="1" x14ac:dyDescent="0.3">
      <c r="A593" s="2" t="s">
        <v>1215</v>
      </c>
      <c r="B593" s="2" t="s">
        <v>6</v>
      </c>
      <c r="C593" s="4">
        <v>1272</v>
      </c>
      <c r="D593" s="2" t="s">
        <v>7</v>
      </c>
      <c r="E593" s="3" t="str">
        <f>HYPERLINK("https://springer.com/44403")</f>
        <v>https://springer.com/44403</v>
      </c>
      <c r="F593" s="2" t="s">
        <v>1216</v>
      </c>
    </row>
    <row r="594" spans="1:6" ht="12.75" customHeight="1" x14ac:dyDescent="0.3">
      <c r="A594" s="2" t="s">
        <v>1217</v>
      </c>
      <c r="B594" s="2" t="s">
        <v>25</v>
      </c>
      <c r="C594" s="4">
        <v>1352</v>
      </c>
      <c r="D594" s="2" t="s">
        <v>7</v>
      </c>
      <c r="E594" s="3" t="str">
        <f>HYPERLINK("https://springer.com/44405")</f>
        <v>https://springer.com/44405</v>
      </c>
      <c r="F594" s="2" t="s">
        <v>1218</v>
      </c>
    </row>
    <row r="595" spans="1:6" ht="12.75" customHeight="1" x14ac:dyDescent="0.3">
      <c r="A595" s="2" t="s">
        <v>1219</v>
      </c>
      <c r="B595" s="2" t="s">
        <v>92</v>
      </c>
      <c r="C595" s="4">
        <v>2190</v>
      </c>
      <c r="D595" s="2" t="s">
        <v>7</v>
      </c>
      <c r="E595" s="3" t="str">
        <f>HYPERLINK("https://springer.com/44406")</f>
        <v>https://springer.com/44406</v>
      </c>
      <c r="F595" s="2" t="s">
        <v>1220</v>
      </c>
    </row>
    <row r="596" spans="1:6" ht="12.75" customHeight="1" x14ac:dyDescent="0.3">
      <c r="A596" s="2" t="s">
        <v>1221</v>
      </c>
      <c r="B596" s="2" t="s">
        <v>21</v>
      </c>
      <c r="C596" s="4">
        <v>2190</v>
      </c>
      <c r="D596" s="2" t="s">
        <v>7</v>
      </c>
      <c r="E596" s="3" t="str">
        <f>HYPERLINK("https://springer.com/44407")</f>
        <v>https://springer.com/44407</v>
      </c>
      <c r="F596" s="2" t="s">
        <v>1222</v>
      </c>
    </row>
    <row r="597" spans="1:6" ht="12.75" customHeight="1" x14ac:dyDescent="0.3">
      <c r="A597" s="2" t="s">
        <v>1223</v>
      </c>
      <c r="B597" s="2" t="s">
        <v>21</v>
      </c>
      <c r="C597" s="4">
        <v>1432</v>
      </c>
      <c r="D597" s="2" t="s">
        <v>7</v>
      </c>
      <c r="E597" s="3" t="str">
        <f>HYPERLINK("https://springer.com/44408")</f>
        <v>https://springer.com/44408</v>
      </c>
      <c r="F597" s="2" t="s">
        <v>1224</v>
      </c>
    </row>
    <row r="598" spans="1:6" ht="12.75" customHeight="1" x14ac:dyDescent="0.3">
      <c r="A598" s="2" t="s">
        <v>1225</v>
      </c>
      <c r="B598" s="2" t="s">
        <v>25</v>
      </c>
      <c r="C598" s="4">
        <v>1512</v>
      </c>
      <c r="D598" s="2" t="s">
        <v>7</v>
      </c>
      <c r="E598" s="3" t="str">
        <f>HYPERLINK("https://springer.com/44410")</f>
        <v>https://springer.com/44410</v>
      </c>
      <c r="F598" s="2" t="s">
        <v>1226</v>
      </c>
    </row>
    <row r="599" spans="1:6" ht="12.75" customHeight="1" x14ac:dyDescent="0.3">
      <c r="A599" s="2" t="s">
        <v>1227</v>
      </c>
      <c r="B599" s="2" t="s">
        <v>6</v>
      </c>
      <c r="C599" s="4">
        <v>1512</v>
      </c>
      <c r="D599" s="2" t="s">
        <v>7</v>
      </c>
      <c r="E599" s="3" t="str">
        <f>HYPERLINK("https://springer.com/44412")</f>
        <v>https://springer.com/44412</v>
      </c>
      <c r="F599" s="2" t="s">
        <v>1228</v>
      </c>
    </row>
    <row r="600" spans="1:6" ht="12.75" customHeight="1" x14ac:dyDescent="0.3">
      <c r="A600" s="2" t="s">
        <v>1229</v>
      </c>
      <c r="B600" s="2" t="s">
        <v>19</v>
      </c>
      <c r="C600" s="4">
        <v>1352</v>
      </c>
      <c r="D600" s="2" t="s">
        <v>7</v>
      </c>
      <c r="E600" s="3" t="str">
        <f>HYPERLINK("https://springer.com/44414")</f>
        <v>https://springer.com/44414</v>
      </c>
      <c r="F600" s="2" t="s">
        <v>1230</v>
      </c>
    </row>
    <row r="601" spans="1:6" ht="12.75" customHeight="1" x14ac:dyDescent="0.3">
      <c r="A601" s="2" t="s">
        <v>1231</v>
      </c>
      <c r="B601" s="2" t="s">
        <v>19</v>
      </c>
      <c r="C601" s="4">
        <v>832</v>
      </c>
      <c r="D601" s="2" t="s">
        <v>7</v>
      </c>
      <c r="E601" s="3" t="str">
        <f>HYPERLINK("https://springer.com/44417")</f>
        <v>https://springer.com/44417</v>
      </c>
      <c r="F601" s="2" t="s">
        <v>1232</v>
      </c>
    </row>
    <row r="602" spans="1:6" ht="12.75" customHeight="1" x14ac:dyDescent="0.3">
      <c r="A602" s="2" t="s">
        <v>1233</v>
      </c>
      <c r="B602" s="2" t="s">
        <v>9</v>
      </c>
      <c r="C602" s="4">
        <v>832</v>
      </c>
      <c r="D602" s="2" t="s">
        <v>7</v>
      </c>
      <c r="E602" s="3" t="str">
        <f>HYPERLINK("https://springer.com/44418")</f>
        <v>https://springer.com/44418</v>
      </c>
      <c r="F602" s="2" t="s">
        <v>1234</v>
      </c>
    </row>
    <row r="603" spans="1:6" ht="12.75" customHeight="1" x14ac:dyDescent="0.3">
      <c r="A603" s="2" t="s">
        <v>1235</v>
      </c>
      <c r="B603" s="2" t="s">
        <v>12</v>
      </c>
      <c r="C603" s="4">
        <v>1352</v>
      </c>
      <c r="D603" s="2" t="s">
        <v>7</v>
      </c>
      <c r="E603" s="3" t="str">
        <f>HYPERLINK("https://springer.com/44419")</f>
        <v>https://springer.com/44419</v>
      </c>
      <c r="F603" s="2" t="s">
        <v>1236</v>
      </c>
    </row>
    <row r="604" spans="1:6" ht="12.75" customHeight="1" x14ac:dyDescent="0.3">
      <c r="A604" s="2" t="s">
        <v>1237</v>
      </c>
      <c r="B604" s="2" t="s">
        <v>21</v>
      </c>
      <c r="C604" s="4">
        <v>1352</v>
      </c>
      <c r="D604" s="2" t="s">
        <v>7</v>
      </c>
      <c r="E604" s="3" t="str">
        <f>HYPERLINK("https://springer.com/44420")</f>
        <v>https://springer.com/44420</v>
      </c>
      <c r="F604" s="2" t="s">
        <v>1238</v>
      </c>
    </row>
    <row r="605" spans="1:6" ht="12.75" customHeight="1" x14ac:dyDescent="0.3">
      <c r="A605" s="2" t="s">
        <v>1239</v>
      </c>
      <c r="B605" s="2" t="s">
        <v>25</v>
      </c>
      <c r="C605" s="4">
        <v>1272</v>
      </c>
      <c r="D605" s="2" t="s">
        <v>7</v>
      </c>
      <c r="E605" s="3" t="str">
        <f>HYPERLINK("https://springer.com/44422")</f>
        <v>https://springer.com/44422</v>
      </c>
      <c r="F605" s="2" t="s">
        <v>1240</v>
      </c>
    </row>
    <row r="606" spans="1:6" ht="12.75" customHeight="1" x14ac:dyDescent="0.3">
      <c r="A606" s="2" t="s">
        <v>1241</v>
      </c>
      <c r="B606" s="2" t="s">
        <v>19</v>
      </c>
      <c r="C606" s="4">
        <v>1592</v>
      </c>
      <c r="D606" s="2" t="s">
        <v>7</v>
      </c>
      <c r="E606" s="3" t="str">
        <f>HYPERLINK("https://springer.com/44424")</f>
        <v>https://springer.com/44424</v>
      </c>
      <c r="F606" s="2" t="s">
        <v>1242</v>
      </c>
    </row>
    <row r="607" spans="1:6" ht="12.75" customHeight="1" x14ac:dyDescent="0.3">
      <c r="A607" s="2" t="s">
        <v>1243</v>
      </c>
      <c r="B607" s="2" t="s">
        <v>19</v>
      </c>
      <c r="C607" s="4">
        <v>952</v>
      </c>
      <c r="D607" s="2" t="s">
        <v>7</v>
      </c>
      <c r="E607" s="3" t="str">
        <f>HYPERLINK("https://springer.com/44429")</f>
        <v>https://springer.com/44429</v>
      </c>
      <c r="F607" s="2" t="s">
        <v>1244</v>
      </c>
    </row>
    <row r="608" spans="1:6" ht="12.75" customHeight="1" x14ac:dyDescent="0.3">
      <c r="A608" s="2" t="s">
        <v>1245</v>
      </c>
      <c r="B608" s="2" t="s">
        <v>9</v>
      </c>
      <c r="C608" s="4">
        <v>2190</v>
      </c>
      <c r="D608" s="2" t="s">
        <v>7</v>
      </c>
      <c r="E608" s="3" t="str">
        <f>HYPERLINK("https://springer.com/44431")</f>
        <v>https://springer.com/44431</v>
      </c>
      <c r="F608" s="2" t="s">
        <v>1246</v>
      </c>
    </row>
    <row r="609" spans="1:6" ht="12.75" customHeight="1" x14ac:dyDescent="0.3">
      <c r="A609" s="2" t="s">
        <v>1247</v>
      </c>
      <c r="B609" s="2" t="s">
        <v>73</v>
      </c>
      <c r="C609" s="4">
        <v>2190</v>
      </c>
      <c r="D609" s="2" t="s">
        <v>7</v>
      </c>
      <c r="E609" s="3" t="str">
        <f>HYPERLINK("https://springer.com/44432")</f>
        <v>https://springer.com/44432</v>
      </c>
      <c r="F609" s="2" t="s">
        <v>1248</v>
      </c>
    </row>
    <row r="610" spans="1:6" ht="12.75" customHeight="1" x14ac:dyDescent="0.3">
      <c r="A610" s="2" t="s">
        <v>1249</v>
      </c>
      <c r="B610" s="2" t="s">
        <v>19</v>
      </c>
      <c r="C610" s="4">
        <v>2190</v>
      </c>
      <c r="D610" s="2" t="s">
        <v>7</v>
      </c>
      <c r="E610" s="3" t="str">
        <f>HYPERLINK("https://springer.com/44433")</f>
        <v>https://springer.com/44433</v>
      </c>
      <c r="F610" s="2" t="s">
        <v>1250</v>
      </c>
    </row>
    <row r="611" spans="1:6" ht="12.75" customHeight="1" x14ac:dyDescent="0.3">
      <c r="A611" s="2" t="s">
        <v>1251</v>
      </c>
      <c r="B611" s="2" t="s">
        <v>6</v>
      </c>
      <c r="C611" s="4">
        <v>2190</v>
      </c>
      <c r="D611" s="2" t="s">
        <v>7</v>
      </c>
      <c r="E611" s="3" t="str">
        <f>HYPERLINK("https://springer.com/44434")</f>
        <v>https://springer.com/44434</v>
      </c>
      <c r="F611" s="2" t="s">
        <v>1252</v>
      </c>
    </row>
    <row r="612" spans="1:6" ht="12.75" customHeight="1" x14ac:dyDescent="0.3">
      <c r="A612" s="2" t="s">
        <v>1253</v>
      </c>
      <c r="B612" s="2" t="s">
        <v>16</v>
      </c>
      <c r="C612" s="4">
        <v>2190</v>
      </c>
      <c r="D612" s="2" t="s">
        <v>7</v>
      </c>
      <c r="E612" s="3" t="str">
        <f>HYPERLINK("https://springer.com/44435")</f>
        <v>https://springer.com/44435</v>
      </c>
      <c r="F612" s="2" t="s">
        <v>1254</v>
      </c>
    </row>
    <row r="613" spans="1:6" ht="12.75" customHeight="1" x14ac:dyDescent="0.3">
      <c r="A613" s="2" t="s">
        <v>1255</v>
      </c>
      <c r="B613" s="2" t="s">
        <v>68</v>
      </c>
      <c r="C613" s="4">
        <v>1592</v>
      </c>
      <c r="D613" s="2" t="s">
        <v>7</v>
      </c>
      <c r="E613" s="3" t="str">
        <f>HYPERLINK("https://springer.com/44436")</f>
        <v>https://springer.com/44436</v>
      </c>
      <c r="F613" s="2" t="s">
        <v>1256</v>
      </c>
    </row>
    <row r="614" spans="1:6" ht="12.75" customHeight="1" x14ac:dyDescent="0.3">
      <c r="A614" s="2" t="s">
        <v>1257</v>
      </c>
      <c r="B614" s="2" t="s">
        <v>19</v>
      </c>
      <c r="C614" s="4">
        <v>2190</v>
      </c>
      <c r="D614" s="2" t="s">
        <v>7</v>
      </c>
      <c r="E614" s="3" t="str">
        <f>HYPERLINK("https://springer.com/44437")</f>
        <v>https://springer.com/44437</v>
      </c>
      <c r="F614" s="2" t="s">
        <v>1258</v>
      </c>
    </row>
    <row r="615" spans="1:6" ht="12.75" customHeight="1" x14ac:dyDescent="0.3">
      <c r="A615" s="2" t="s">
        <v>1259</v>
      </c>
      <c r="B615" s="2" t="s">
        <v>19</v>
      </c>
      <c r="C615" s="4">
        <v>2390</v>
      </c>
      <c r="D615" s="2" t="s">
        <v>7</v>
      </c>
      <c r="E615" s="3" t="str">
        <f>HYPERLINK("https://springer.com/44440")</f>
        <v>https://springer.com/44440</v>
      </c>
      <c r="F615" s="2" t="s">
        <v>1260</v>
      </c>
    </row>
    <row r="616" spans="1:6" ht="12.75" customHeight="1" x14ac:dyDescent="0.3">
      <c r="A616" s="2" t="s">
        <v>1261</v>
      </c>
      <c r="B616" s="2" t="s">
        <v>25</v>
      </c>
      <c r="C616" s="4">
        <v>1672</v>
      </c>
      <c r="D616" s="2" t="s">
        <v>7</v>
      </c>
      <c r="E616" s="3" t="str">
        <f>HYPERLINK("https://springer.com/44442")</f>
        <v>https://springer.com/44442</v>
      </c>
      <c r="F616" s="2" t="s">
        <v>1262</v>
      </c>
    </row>
    <row r="617" spans="1:6" ht="12.75" customHeight="1" x14ac:dyDescent="0.3">
      <c r="A617" s="2" t="s">
        <v>1263</v>
      </c>
      <c r="B617" s="2" t="s">
        <v>17</v>
      </c>
      <c r="C617" s="4">
        <v>1352</v>
      </c>
      <c r="D617" s="2" t="s">
        <v>7</v>
      </c>
      <c r="E617" s="3" t="str">
        <f>HYPERLINK("https://springer.com/44443")</f>
        <v>https://springer.com/44443</v>
      </c>
      <c r="F617" s="2" t="s">
        <v>1264</v>
      </c>
    </row>
    <row r="618" spans="1:6" ht="12.75" customHeight="1" x14ac:dyDescent="0.3">
      <c r="A618" s="2" t="s">
        <v>1265</v>
      </c>
      <c r="B618" s="2" t="s">
        <v>20</v>
      </c>
      <c r="C618" s="4">
        <v>1672</v>
      </c>
      <c r="D618" s="2" t="s">
        <v>7</v>
      </c>
      <c r="E618" s="3" t="str">
        <f>HYPERLINK("https://springer.com/44445")</f>
        <v>https://springer.com/44445</v>
      </c>
      <c r="F618" s="2" t="s">
        <v>1266</v>
      </c>
    </row>
    <row r="619" spans="1:6" ht="12.75" customHeight="1" x14ac:dyDescent="0.3">
      <c r="A619" s="2" t="s">
        <v>1267</v>
      </c>
      <c r="B619" s="2" t="s">
        <v>10</v>
      </c>
      <c r="C619" s="4">
        <v>1832</v>
      </c>
      <c r="D619" s="2" t="s">
        <v>7</v>
      </c>
      <c r="E619" s="3" t="str">
        <f>HYPERLINK("https://springer.com/44446")</f>
        <v>https://springer.com/44446</v>
      </c>
      <c r="F619" s="2" t="s">
        <v>1268</v>
      </c>
    </row>
    <row r="620" spans="1:6" ht="12.75" customHeight="1" x14ac:dyDescent="0.3">
      <c r="A620" s="2" t="s">
        <v>1269</v>
      </c>
      <c r="B620" s="2" t="s">
        <v>19</v>
      </c>
      <c r="C620" s="4">
        <v>1512</v>
      </c>
      <c r="D620" s="2" t="s">
        <v>7</v>
      </c>
      <c r="E620" s="3" t="str">
        <f>HYPERLINK("https://springer.com/44448")</f>
        <v>https://springer.com/44448</v>
      </c>
      <c r="F620" s="2" t="s">
        <v>1270</v>
      </c>
    </row>
    <row r="621" spans="1:6" ht="12.75" customHeight="1" x14ac:dyDescent="0.3">
      <c r="A621" s="2" t="s">
        <v>1271</v>
      </c>
      <c r="B621" s="2" t="s">
        <v>10</v>
      </c>
      <c r="C621" s="4">
        <v>1592</v>
      </c>
      <c r="D621" s="2" t="s">
        <v>7</v>
      </c>
      <c r="E621" s="3" t="str">
        <f>HYPERLINK("https://springer.com/44450")</f>
        <v>https://springer.com/44450</v>
      </c>
      <c r="F621" s="2" t="s">
        <v>1272</v>
      </c>
    </row>
    <row r="622" spans="1:6" ht="12.75" customHeight="1" x14ac:dyDescent="0.3">
      <c r="A622" s="2" t="s">
        <v>1273</v>
      </c>
      <c r="B622" s="2" t="s">
        <v>10</v>
      </c>
      <c r="C622" s="4">
        <v>1512</v>
      </c>
      <c r="D622" s="2" t="s">
        <v>7</v>
      </c>
      <c r="E622" s="3" t="str">
        <f>HYPERLINK("https://springer.com/44451")</f>
        <v>https://springer.com/44451</v>
      </c>
      <c r="F622" s="2" t="s">
        <v>1274</v>
      </c>
    </row>
    <row r="623" spans="1:6" ht="12.75" customHeight="1" x14ac:dyDescent="0.3">
      <c r="A623" s="2" t="s">
        <v>1275</v>
      </c>
      <c r="B623" s="2" t="s">
        <v>19</v>
      </c>
      <c r="C623" s="4">
        <v>1352</v>
      </c>
      <c r="D623" s="2" t="s">
        <v>7</v>
      </c>
      <c r="E623" s="3" t="str">
        <f>HYPERLINK("https://springer.com/44452")</f>
        <v>https://springer.com/44452</v>
      </c>
      <c r="F623" s="2" t="s">
        <v>1276</v>
      </c>
    </row>
    <row r="624" spans="1:6" ht="12.75" customHeight="1" x14ac:dyDescent="0.3">
      <c r="A624" s="2" t="s">
        <v>1277</v>
      </c>
      <c r="B624" s="2" t="s">
        <v>9</v>
      </c>
      <c r="C624" s="4">
        <v>2190</v>
      </c>
      <c r="D624" s="2" t="s">
        <v>7</v>
      </c>
      <c r="E624" s="3" t="str">
        <f>HYPERLINK("https://springer.com/44453")</f>
        <v>https://springer.com/44453</v>
      </c>
      <c r="F624" s="2" t="s">
        <v>1278</v>
      </c>
    </row>
    <row r="625" spans="1:6" ht="12.75" customHeight="1" x14ac:dyDescent="0.3">
      <c r="A625" s="2" t="s">
        <v>1279</v>
      </c>
      <c r="B625" s="2" t="s">
        <v>12</v>
      </c>
      <c r="C625" s="4">
        <v>2190</v>
      </c>
      <c r="D625" s="2" t="s">
        <v>7</v>
      </c>
      <c r="E625" s="3" t="str">
        <f>HYPERLINK("https://springer.com/44454")</f>
        <v>https://springer.com/44454</v>
      </c>
      <c r="F625" s="2" t="s">
        <v>1280</v>
      </c>
    </row>
    <row r="626" spans="1:6" ht="12.75" customHeight="1" x14ac:dyDescent="0.3">
      <c r="A626" s="2" t="s">
        <v>1281</v>
      </c>
      <c r="B626" s="2" t="s">
        <v>37</v>
      </c>
      <c r="C626" s="4">
        <v>2190</v>
      </c>
      <c r="D626" s="2" t="s">
        <v>7</v>
      </c>
      <c r="E626" s="3" t="str">
        <f>HYPERLINK("https://springer.com/44455")</f>
        <v>https://springer.com/44455</v>
      </c>
      <c r="F626" s="2" t="s">
        <v>1282</v>
      </c>
    </row>
    <row r="627" spans="1:6" ht="12.75" customHeight="1" x14ac:dyDescent="0.3">
      <c r="A627" s="2" t="s">
        <v>1283</v>
      </c>
      <c r="B627" s="2" t="s">
        <v>37</v>
      </c>
      <c r="C627" s="4">
        <v>2190</v>
      </c>
      <c r="D627" s="2" t="s">
        <v>7</v>
      </c>
      <c r="E627" s="3" t="str">
        <f>HYPERLINK("https://springer.com/44456")</f>
        <v>https://springer.com/44456</v>
      </c>
      <c r="F627" s="2" t="s">
        <v>1284</v>
      </c>
    </row>
    <row r="628" spans="1:6" ht="12.75" customHeight="1" x14ac:dyDescent="0.3">
      <c r="A628" s="2" t="s">
        <v>1285</v>
      </c>
      <c r="B628" s="2" t="s">
        <v>86</v>
      </c>
      <c r="C628" s="4">
        <v>2190</v>
      </c>
      <c r="D628" s="2" t="s">
        <v>7</v>
      </c>
      <c r="E628" s="3" t="str">
        <f>HYPERLINK("https://springer.com/44458")</f>
        <v>https://springer.com/44458</v>
      </c>
      <c r="F628" s="2" t="s">
        <v>1286</v>
      </c>
    </row>
    <row r="629" spans="1:6" ht="12.75" customHeight="1" x14ac:dyDescent="0.3">
      <c r="A629" s="2" t="s">
        <v>1287</v>
      </c>
      <c r="B629" s="2" t="s">
        <v>16</v>
      </c>
      <c r="C629" s="4">
        <v>2190</v>
      </c>
      <c r="D629" s="2" t="s">
        <v>7</v>
      </c>
      <c r="E629" s="3" t="str">
        <f>HYPERLINK("https://springer.com/44459")</f>
        <v>https://springer.com/44459</v>
      </c>
      <c r="F629" s="2" t="s">
        <v>1288</v>
      </c>
    </row>
    <row r="630" spans="1:6" ht="12.75" customHeight="1" x14ac:dyDescent="0.3">
      <c r="A630" s="2" t="s">
        <v>1289</v>
      </c>
      <c r="B630" s="2" t="s">
        <v>12</v>
      </c>
      <c r="C630" s="4">
        <v>1352</v>
      </c>
      <c r="D630" s="2" t="s">
        <v>7</v>
      </c>
      <c r="E630" s="3" t="str">
        <f>HYPERLINK("https://springer.com/44461")</f>
        <v>https://springer.com/44461</v>
      </c>
      <c r="F630" s="2" t="s">
        <v>1290</v>
      </c>
    </row>
    <row r="631" spans="1:6" ht="12.75" customHeight="1" x14ac:dyDescent="0.3">
      <c r="A631" s="2" t="s">
        <v>1291</v>
      </c>
      <c r="B631" s="2" t="s">
        <v>25</v>
      </c>
      <c r="C631" s="4"/>
      <c r="D631" s="2" t="s">
        <v>7</v>
      </c>
      <c r="E631" s="3" t="str">
        <f>HYPERLINK("https://springer.com/44463")</f>
        <v>https://springer.com/44463</v>
      </c>
      <c r="F631" s="2" t="s">
        <v>1292</v>
      </c>
    </row>
    <row r="632" spans="1:6" ht="12.75" customHeight="1" x14ac:dyDescent="0.3">
      <c r="A632" s="2" t="s">
        <v>1293</v>
      </c>
      <c r="B632" s="2" t="s">
        <v>19</v>
      </c>
      <c r="C632" s="4">
        <v>404</v>
      </c>
      <c r="D632" s="2" t="s">
        <v>7</v>
      </c>
      <c r="E632" s="3" t="str">
        <f>HYPERLINK("https://springer.com/44467")</f>
        <v>https://springer.com/44467</v>
      </c>
      <c r="F632" s="2" t="s">
        <v>1294</v>
      </c>
    </row>
    <row r="633" spans="1:6" ht="12.75" customHeight="1" x14ac:dyDescent="0.3">
      <c r="A633" s="2" t="s">
        <v>1295</v>
      </c>
      <c r="B633" s="2" t="s">
        <v>16</v>
      </c>
      <c r="C633" s="4">
        <v>1592</v>
      </c>
      <c r="D633" s="2" t="s">
        <v>7</v>
      </c>
      <c r="E633" s="3" t="str">
        <f>HYPERLINK("https://springer.com/44468")</f>
        <v>https://springer.com/44468</v>
      </c>
      <c r="F633" s="2" t="s">
        <v>1296</v>
      </c>
    </row>
    <row r="634" spans="1:6" ht="12.75" customHeight="1" x14ac:dyDescent="0.3">
      <c r="A634" s="2" t="s">
        <v>1297</v>
      </c>
      <c r="B634" s="2" t="s">
        <v>37</v>
      </c>
      <c r="C634" s="4"/>
      <c r="D634" s="2" t="s">
        <v>7</v>
      </c>
      <c r="E634" s="3" t="str">
        <f>HYPERLINK("https://springer.com/44469")</f>
        <v>https://springer.com/44469</v>
      </c>
      <c r="F634" s="2" t="s">
        <v>1298</v>
      </c>
    </row>
    <row r="635" spans="1:6" ht="12.75" customHeight="1" x14ac:dyDescent="0.3">
      <c r="A635" s="2" t="s">
        <v>1299</v>
      </c>
      <c r="B635" s="2" t="s">
        <v>10</v>
      </c>
      <c r="C635" s="4">
        <v>1832</v>
      </c>
      <c r="D635" s="2" t="s">
        <v>7</v>
      </c>
      <c r="E635" s="3" t="str">
        <f>HYPERLINK("https://springer.com/44477")</f>
        <v>https://springer.com/44477</v>
      </c>
      <c r="F635" s="2" t="s">
        <v>1300</v>
      </c>
    </row>
    <row r="636" spans="1:6" ht="12.75" customHeight="1" x14ac:dyDescent="0.3">
      <c r="A636" s="2" t="s">
        <v>1301</v>
      </c>
      <c r="B636" s="2" t="s">
        <v>10</v>
      </c>
      <c r="C636" s="4">
        <v>1592</v>
      </c>
      <c r="D636" s="2" t="s">
        <v>7</v>
      </c>
      <c r="E636" s="3" t="str">
        <f>HYPERLINK("https://springer.com/44478")</f>
        <v>https://springer.com/44478</v>
      </c>
      <c r="F636" s="2" t="s">
        <v>1302</v>
      </c>
    </row>
    <row r="637" spans="1:6" ht="12.75" customHeight="1" x14ac:dyDescent="0.3">
      <c r="A637" s="2" t="s">
        <v>1303</v>
      </c>
      <c r="B637" s="2" t="s">
        <v>6</v>
      </c>
      <c r="C637" s="4">
        <v>1352</v>
      </c>
      <c r="D637" s="2" t="s">
        <v>7</v>
      </c>
      <c r="E637" s="3" t="str">
        <f>HYPERLINK("https://springer.com/44479")</f>
        <v>https://springer.com/44479</v>
      </c>
      <c r="F637" s="2" t="s">
        <v>1304</v>
      </c>
    </row>
    <row r="638" spans="1:6" ht="12.75" customHeight="1" x14ac:dyDescent="0.3">
      <c r="A638" s="2" t="s">
        <v>1305</v>
      </c>
      <c r="B638" s="2" t="s">
        <v>92</v>
      </c>
      <c r="C638" s="4"/>
      <c r="D638" s="2" t="s">
        <v>7</v>
      </c>
      <c r="E638" s="3" t="str">
        <f>HYPERLINK("https://springer.com/44480")</f>
        <v>https://springer.com/44480</v>
      </c>
      <c r="F638" s="2" t="s">
        <v>1306</v>
      </c>
    </row>
    <row r="639" spans="1:6" ht="12.75" customHeight="1" x14ac:dyDescent="0.3">
      <c r="A639" s="2" t="s">
        <v>1307</v>
      </c>
      <c r="B639" s="2" t="s">
        <v>10</v>
      </c>
      <c r="C639" s="4">
        <v>2390</v>
      </c>
      <c r="D639" s="2" t="s">
        <v>7</v>
      </c>
      <c r="E639" s="3" t="str">
        <f>HYPERLINK("https://springer.com/44482")</f>
        <v>https://springer.com/44482</v>
      </c>
      <c r="F639" s="2" t="s">
        <v>1308</v>
      </c>
    </row>
    <row r="640" spans="1:6" ht="12.75" customHeight="1" x14ac:dyDescent="0.3">
      <c r="A640" s="2" t="s">
        <v>1309</v>
      </c>
      <c r="B640" s="2" t="s">
        <v>10</v>
      </c>
      <c r="C640" s="4">
        <v>2390</v>
      </c>
      <c r="D640" s="2" t="s">
        <v>7</v>
      </c>
      <c r="E640" s="3" t="str">
        <f>HYPERLINK("https://springer.com/44483")</f>
        <v>https://springer.com/44483</v>
      </c>
      <c r="F640" s="2" t="s">
        <v>1310</v>
      </c>
    </row>
    <row r="641" spans="1:6" ht="12.75" customHeight="1" x14ac:dyDescent="0.3">
      <c r="A641" s="2" t="s">
        <v>1311</v>
      </c>
      <c r="B641" s="2" t="s">
        <v>10</v>
      </c>
      <c r="C641" s="4">
        <v>2390</v>
      </c>
      <c r="D641" s="2" t="s">
        <v>7</v>
      </c>
      <c r="E641" s="3" t="str">
        <f>HYPERLINK("https://springer.com/44484")</f>
        <v>https://springer.com/44484</v>
      </c>
      <c r="F641" s="2" t="s">
        <v>1312</v>
      </c>
    </row>
    <row r="642" spans="1:6" ht="12.75" customHeight="1" x14ac:dyDescent="0.3">
      <c r="A642" s="2" t="s">
        <v>1313</v>
      </c>
      <c r="B642" s="2" t="s">
        <v>6</v>
      </c>
      <c r="C642" s="4">
        <v>2090</v>
      </c>
      <c r="D642" s="2" t="s">
        <v>7</v>
      </c>
      <c r="E642" s="3" t="str">
        <f>HYPERLINK("https://springer.com/44485")</f>
        <v>https://springer.com/44485</v>
      </c>
      <c r="F642" s="2" t="s">
        <v>1314</v>
      </c>
    </row>
    <row r="643" spans="1:6" ht="12.75" customHeight="1" x14ac:dyDescent="0.3">
      <c r="A643" s="2" t="s">
        <v>1315</v>
      </c>
      <c r="B643" s="2" t="s">
        <v>24</v>
      </c>
      <c r="C643" s="4"/>
      <c r="D643" s="2" t="s">
        <v>7</v>
      </c>
      <c r="E643" s="3" t="str">
        <f>HYPERLINK("https://springer.com/44491")</f>
        <v>https://springer.com/44491</v>
      </c>
      <c r="F643" s="2" t="s">
        <v>1316</v>
      </c>
    </row>
    <row r="644" spans="1:6" ht="12.75" customHeight="1" x14ac:dyDescent="0.3">
      <c r="A644" s="2" t="s">
        <v>1317</v>
      </c>
      <c r="B644" s="2" t="s">
        <v>37</v>
      </c>
      <c r="C644" s="4"/>
      <c r="D644" s="2" t="s">
        <v>7</v>
      </c>
      <c r="E644" s="3" t="str">
        <f>HYPERLINK("https://springer.com/44492")</f>
        <v>https://springer.com/44492</v>
      </c>
      <c r="F644" s="2" t="s">
        <v>1318</v>
      </c>
    </row>
    <row r="645" spans="1:6" ht="12.75" customHeight="1" x14ac:dyDescent="0.3">
      <c r="A645" s="2" t="s">
        <v>1319</v>
      </c>
      <c r="B645" s="2" t="s">
        <v>37</v>
      </c>
      <c r="C645" s="4"/>
      <c r="D645" s="2" t="s">
        <v>7</v>
      </c>
      <c r="E645" s="3" t="str">
        <f>HYPERLINK("https://springer.com/44493")</f>
        <v>https://springer.com/44493</v>
      </c>
      <c r="F645" s="2" t="s">
        <v>1320</v>
      </c>
    </row>
    <row r="646" spans="1:6" ht="12.75" customHeight="1" x14ac:dyDescent="0.3">
      <c r="A646" s="2" t="s">
        <v>1321</v>
      </c>
      <c r="B646" s="2" t="s">
        <v>19</v>
      </c>
      <c r="C646" s="4"/>
      <c r="D646" s="2" t="s">
        <v>7</v>
      </c>
      <c r="E646" s="3" t="str">
        <f>HYPERLINK("https://springer.com/44494")</f>
        <v>https://springer.com/44494</v>
      </c>
      <c r="F646" s="2" t="s">
        <v>1322</v>
      </c>
    </row>
    <row r="647" spans="1:6" ht="12.75" customHeight="1" x14ac:dyDescent="0.3">
      <c r="A647" s="2" t="s">
        <v>1323</v>
      </c>
      <c r="B647" s="2" t="s">
        <v>37</v>
      </c>
      <c r="C647" s="4"/>
      <c r="D647" s="2" t="s">
        <v>7</v>
      </c>
      <c r="E647" s="3" t="str">
        <f>HYPERLINK("https://springer.com/44495")</f>
        <v>https://springer.com/44495</v>
      </c>
      <c r="F647" s="2" t="s">
        <v>1324</v>
      </c>
    </row>
    <row r="648" spans="1:6" ht="12.75" customHeight="1" x14ac:dyDescent="0.3">
      <c r="A648" s="2" t="s">
        <v>1325</v>
      </c>
      <c r="B648" s="2" t="s">
        <v>25</v>
      </c>
      <c r="C648" s="4"/>
      <c r="D648" s="2" t="s">
        <v>7</v>
      </c>
      <c r="E648" s="3" t="str">
        <f>HYPERLINK("https://springer.com/44496")</f>
        <v>https://springer.com/44496</v>
      </c>
      <c r="F648" s="2" t="s">
        <v>1326</v>
      </c>
    </row>
  </sheetData>
  <autoFilter ref="A2:F648" xr:uid="{00000000-0009-0000-0000-000000000000}"/>
  <pageMargins left="0.40000000000000008" right="0.40000000000000008" top="0.80000000000000016" bottom="0.40000000000000008" header="0.3" footer="0.3"/>
  <pageSetup paperSize="9" scale="75" orientation="portrait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Gold OA</vt:lpstr>
      <vt:lpstr>'Gold OA'!Druckbereich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creator>ASDA authors</dc:creator>
  <cp:lastModifiedBy>Rhiannon Schmitt  </cp:lastModifiedBy>
  <cp:revision>1</cp:revision>
  <dcterms:created xsi:type="dcterms:W3CDTF">2025-07-10T14:06:30Z</dcterms:created>
  <dcterms:modified xsi:type="dcterms:W3CDTF">2025-09-12T11:45:54Z</dcterms:modified>
</cp:coreProperties>
</file>