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rhsc\AppData\Local\Nextcloud_Daten\Laufwerk P\Medienbearbeitung\DEAL\Elsevier\Listen Website\2025-09\"/>
    </mc:Choice>
  </mc:AlternateContent>
  <xr:revisionPtr revIDLastSave="0" documentId="13_ncr:1_{C9E4EBE8-B53D-474D-99B2-EE8D862249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old OA" sheetId="2" r:id="rId1"/>
  </sheets>
  <definedNames>
    <definedName name="_xlnm._FilterDatabase" localSheetId="0" hidden="1">'Gold OA'!$A$4:$G$774</definedName>
    <definedName name="_xlnm.Print_Area" localSheetId="0">'Gold OA'!$A$1:$F$5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74" i="2" l="1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<sst xmlns="http://schemas.openxmlformats.org/spreadsheetml/2006/main" count="3856" uniqueCount="2531">
  <si>
    <t>ISSN</t>
  </si>
  <si>
    <t>Journal Title</t>
  </si>
  <si>
    <t>0001-6918</t>
  </si>
  <si>
    <t>Acta Psychologica</t>
  </si>
  <si>
    <t>0378-3774</t>
  </si>
  <si>
    <t>Agricultural Water Management</t>
  </si>
  <si>
    <t>0196-0709</t>
  </si>
  <si>
    <t>American Journal of Otolaryngology</t>
  </si>
  <si>
    <t>0141-1187</t>
  </si>
  <si>
    <t>Applied Ocean Research</t>
  </si>
  <si>
    <t>1439-1791</t>
  </si>
  <si>
    <t>Basic and Applied Ecology</t>
  </si>
  <si>
    <t>1049-9644</t>
  </si>
  <si>
    <t>Biological Control</t>
  </si>
  <si>
    <t>0753-3322</t>
  </si>
  <si>
    <t>Biomedicine &amp; Pharmacotherapy</t>
  </si>
  <si>
    <t>0361-9230</t>
  </si>
  <si>
    <t>Brain Research Bulletin</t>
  </si>
  <si>
    <t>1935-861X</t>
  </si>
  <si>
    <t>Brain Stimulation</t>
  </si>
  <si>
    <t>0960-9776</t>
  </si>
  <si>
    <t>The Breast</t>
  </si>
  <si>
    <t>2468-2942</t>
  </si>
  <si>
    <t>Cancer Treatment and Research Communications</t>
  </si>
  <si>
    <t>2468-2330</t>
  </si>
  <si>
    <t>The Cell Surface</t>
  </si>
  <si>
    <t>1674-6384</t>
  </si>
  <si>
    <t>Chinese Herbal Medicines</t>
  </si>
  <si>
    <t>1872-2040</t>
  </si>
  <si>
    <t>Chinese Journal of Analytical Chemistry</t>
  </si>
  <si>
    <t>2213-3984</t>
  </si>
  <si>
    <t>Clinical Epidemiology and Global Health</t>
  </si>
  <si>
    <t>2215-0382</t>
  </si>
  <si>
    <t>Colloid and Interface Science Communications</t>
  </si>
  <si>
    <t>0965-2299</t>
  </si>
  <si>
    <t>Complementary Therapies in Medicine</t>
  </si>
  <si>
    <t>0010-440X</t>
  </si>
  <si>
    <t>Comprehensive Psychiatry</t>
  </si>
  <si>
    <t>0011-3840</t>
  </si>
  <si>
    <t>Current Problems in Surgery</t>
  </si>
  <si>
    <t>1470-160X</t>
  </si>
  <si>
    <t>Ecological Indicators</t>
  </si>
  <si>
    <t>1574-9541</t>
  </si>
  <si>
    <t>Ecological Informatics</t>
  </si>
  <si>
    <t>0147-6513</t>
  </si>
  <si>
    <t>Ecotoxicology and Environmental Safety</t>
  </si>
  <si>
    <t>1388-2481</t>
  </si>
  <si>
    <t>Electrochemistry Communications</t>
  </si>
  <si>
    <t>2211-467X</t>
  </si>
  <si>
    <t>Energy Strategy Reviews</t>
  </si>
  <si>
    <t>0160-4120</t>
  </si>
  <si>
    <t>Environment International</t>
  </si>
  <si>
    <t>0098-8472</t>
  </si>
  <si>
    <t>Environmental and Experimental Botany</t>
  </si>
  <si>
    <t>2352-1864</t>
  </si>
  <si>
    <t>Environmental Technology &amp; Innovation</t>
  </si>
  <si>
    <t>0171-9335</t>
  </si>
  <si>
    <t>European Journal of Cell Biology</t>
  </si>
  <si>
    <t>1769-7212</t>
  </si>
  <si>
    <t>European Journal of Medical Genetics</t>
  </si>
  <si>
    <t>0928-0987</t>
  </si>
  <si>
    <t>European Journal of Pharmaceutical Sciences</t>
  </si>
  <si>
    <t>0531-5565</t>
  </si>
  <si>
    <t>Experimental Gerontology</t>
  </si>
  <si>
    <t>0014-4800</t>
  </si>
  <si>
    <t>Experimental and Molecular Pathology</t>
  </si>
  <si>
    <t>0378-3820</t>
  </si>
  <si>
    <t>Fuel Processing Technology</t>
  </si>
  <si>
    <t>0888-7543</t>
  </si>
  <si>
    <t>Genomics</t>
  </si>
  <si>
    <t>0016-7061</t>
  </si>
  <si>
    <t>Geoderma</t>
  </si>
  <si>
    <t>1524-0703</t>
  </si>
  <si>
    <t>Graphical Models</t>
  </si>
  <si>
    <t>0171-2985</t>
  </si>
  <si>
    <t>Immunobiology</t>
  </si>
  <si>
    <t>0926-6690</t>
  </si>
  <si>
    <t>Industrial Crops and Products</t>
  </si>
  <si>
    <t>1567-1348</t>
  </si>
  <si>
    <t>Infection, Genetics and Evolution</t>
  </si>
  <si>
    <t>1569-8432</t>
  </si>
  <si>
    <t>International Journal of Applied Earth Observation and Geoinformation</t>
  </si>
  <si>
    <t>0142-0615</t>
  </si>
  <si>
    <t>International Journal of Electrical Power &amp; Energy Systems</t>
  </si>
  <si>
    <t>1438-4221</t>
  </si>
  <si>
    <t>International Journal of Medical Microbiology</t>
  </si>
  <si>
    <t>1059-0560</t>
  </si>
  <si>
    <t>International Review of Economics &amp; Finance</t>
  </si>
  <si>
    <t>2212-9820</t>
  </si>
  <si>
    <t>Journal of CO2 Utilization</t>
  </si>
  <si>
    <t>1756-4646</t>
  </si>
  <si>
    <t>Journal of Functional Foods</t>
  </si>
  <si>
    <t>2213-7165</t>
  </si>
  <si>
    <t>Journal of Global Antimicrobial Resistance</t>
  </si>
  <si>
    <t>0163-4453</t>
  </si>
  <si>
    <t>Journal of Infection</t>
  </si>
  <si>
    <t>2212-4268</t>
  </si>
  <si>
    <t>Journal of Oral Biology and Craniofacial Research</t>
  </si>
  <si>
    <t>1385-1101</t>
  </si>
  <si>
    <t>Journal of Sea Research</t>
  </si>
  <si>
    <t>1052-3057</t>
  </si>
  <si>
    <t>0965-206X</t>
  </si>
  <si>
    <t>Journal of Tissue Viability</t>
  </si>
  <si>
    <t>2213-333X</t>
  </si>
  <si>
    <t>Journal of Vascular Surgery: Venous and Lymphatic Disorders</t>
  </si>
  <si>
    <t>1570-8268</t>
  </si>
  <si>
    <t>Journal of Web Semantics</t>
  </si>
  <si>
    <t>Life Sciences</t>
  </si>
  <si>
    <t>0023-6438</t>
  </si>
  <si>
    <t>LWT</t>
  </si>
  <si>
    <t>0264-1275</t>
  </si>
  <si>
    <t>Materials &amp; Design</t>
  </si>
  <si>
    <t>2589-2347</t>
  </si>
  <si>
    <t>Materials Today Sustainability</t>
  </si>
  <si>
    <t>0890-8508</t>
  </si>
  <si>
    <t>Molecular and Cellular Probes</t>
  </si>
  <si>
    <t>0969-9961</t>
  </si>
  <si>
    <t>Neurobiology of Disease</t>
  </si>
  <si>
    <t>1053-8119</t>
  </si>
  <si>
    <t>NeuroImage</t>
  </si>
  <si>
    <t>0168-0102</t>
  </si>
  <si>
    <t>Neuroscience Research</t>
  </si>
  <si>
    <t>1871-6784</t>
  </si>
  <si>
    <t>New Biotechnology</t>
  </si>
  <si>
    <t>0169-1368</t>
  </si>
  <si>
    <t>Ore Geology Reviews</t>
  </si>
  <si>
    <t>1043-6618</t>
  </si>
  <si>
    <t>Pharmacological Research</t>
  </si>
  <si>
    <t>1572-1000</t>
  </si>
  <si>
    <t>Photodiagnosis and Photodynamic Therapy</t>
  </si>
  <si>
    <t>0142-9418</t>
  </si>
  <si>
    <t>Polymer Testing</t>
  </si>
  <si>
    <t>0304-4238</t>
  </si>
  <si>
    <t>Scientia Horticulturae</t>
  </si>
  <si>
    <t>1877-5756</t>
  </si>
  <si>
    <t>Sexual &amp; Reproductive Healthcare</t>
  </si>
  <si>
    <t>1877-959X</t>
  </si>
  <si>
    <t>Ticks and Tick-borne Diseases</t>
  </si>
  <si>
    <t>1477-8939</t>
  </si>
  <si>
    <t>Travel Medicine and Infectious Disease</t>
  </si>
  <si>
    <t>1350-4177</t>
  </si>
  <si>
    <t>Ultrasonics Sonochemistry</t>
  </si>
  <si>
    <t>2212-1099</t>
  </si>
  <si>
    <t>Value in Health Regional Issues</t>
  </si>
  <si>
    <t>0168-1702</t>
  </si>
  <si>
    <t>Virus Research</t>
  </si>
  <si>
    <t>1878-8750</t>
  </si>
  <si>
    <t>World Neurosurgery</t>
  </si>
  <si>
    <t>0939-3889</t>
  </si>
  <si>
    <t>Zeitschrift für Medizinische Physik</t>
  </si>
  <si>
    <t>Elsevier DEAL Journals (Included)</t>
  </si>
  <si>
    <t>ASJC Subject Areas</t>
  </si>
  <si>
    <t>DEAL Cost Contribution (current)</t>
  </si>
  <si>
    <t>OA Licence Types</t>
  </si>
  <si>
    <t>Journal Homepage URL</t>
  </si>
  <si>
    <t>Journal DOI</t>
  </si>
  <si>
    <t>CC BY, CC BY-NC, CC BY-NC-ND</t>
  </si>
  <si>
    <t>Business, Management and Accounting | Social Sciences and Humanities</t>
  </si>
  <si>
    <t>CC BY, CC BY-NC-ND</t>
  </si>
  <si>
    <t>Agricultural and Biological Sciences | Earth and Planetary Sciences | Life Sciences | Physical Sciences and Engineering</t>
  </si>
  <si>
    <t>Engineering and Technology | Physical Sciences and Engineering</t>
  </si>
  <si>
    <t>Arts and Humanities | Social Sciences | Social Sciences and Humanities</t>
  </si>
  <si>
    <t>Environmental Sciences | Life Sciences | Social Sciences | Social Sciences and Humanities</t>
  </si>
  <si>
    <t>Dentistry | Health Sciences | Medicine</t>
  </si>
  <si>
    <t>Chemistry | Physical Sciences and Engineering</t>
  </si>
  <si>
    <t>Engineering and Technology | Physical Sciences and Engineering | Physics</t>
  </si>
  <si>
    <t>Social Sciences | Social Sciences and Humanities</t>
  </si>
  <si>
    <t>Chemical Engineering | Chemistry | Materials Science | Physical Sciences and Engineering | Physics</t>
  </si>
  <si>
    <t>Agricultural and Biological Sciences | Life Sciences</t>
  </si>
  <si>
    <t>Earth and Planetary Sciences | Physical Sciences and Engineering</t>
  </si>
  <si>
    <t>Computer Science | Physical Sciences and Engineering | Social Sciences | Social Sciences and Humanities</t>
  </si>
  <si>
    <t>Earth and Planetary Sciences | Environmental Sciences | Life Sciences | Physical Sciences and Engineering</t>
  </si>
  <si>
    <t>Health Sciences | Immunology | Life Sciences</t>
  </si>
  <si>
    <t>Earth and Planetary Sciences | Engineering and Technology | Physical Sciences and Engineering</t>
  </si>
  <si>
    <t>Chemistry | Materials Science | Physical Sciences and Engineering</t>
  </si>
  <si>
    <t>Health Sciences | Life Sciences | Toxicology</t>
  </si>
  <si>
    <t>Health Sciences | Life Sciences | Medicine | Neuroscience</t>
  </si>
  <si>
    <t>Agricultural and Biological Sciences | Environmental Sciences | Life Sciences</t>
  </si>
  <si>
    <t>10.1016/envexpbot</t>
  </si>
  <si>
    <t>Energy and Power | Physical Sciences and Engineering</t>
  </si>
  <si>
    <t>Computer Science | Engineering and Technology | Physical Sciences and Engineering | Physics</t>
  </si>
  <si>
    <t>Computer Science | Health Sciences | Medicine | Physical Sciences and Engineering</t>
  </si>
  <si>
    <t>Chemistry | Materials Science | Physical Sciences and Engineering | Physics</t>
  </si>
  <si>
    <t>Business, Management and Accounting | Decision Sciences | Economics and Finance | Social Sciences and Humanities</t>
  </si>
  <si>
    <t>Health Sciences | Materials Science | Medicine | Physical Sciences and Engineering</t>
  </si>
  <si>
    <t>Environmental Sciences | Life Sciences</t>
  </si>
  <si>
    <t>10.1016/envint</t>
  </si>
  <si>
    <t>Life Sciences | Neuroscience</t>
  </si>
  <si>
    <t>Life Sciences | Social Sciences | Social Sciences and Humanities</t>
  </si>
  <si>
    <t>Engineering and Technology | Materials Science | Physical Sciences and Engineering</t>
  </si>
  <si>
    <t>Materials Science | Physical Sciences and Engineering | Physics</t>
  </si>
  <si>
    <t>Agricultural and Biological Sciences | Environmental Sciences | Life Sciences | Physical Sciences and Engineering</t>
  </si>
  <si>
    <t>Computer Science | Energy and Power | Engineering and Technology | Physical Sciences and Engineering</t>
  </si>
  <si>
    <t>Health Sciences | Life Sciences | Medicine</t>
  </si>
  <si>
    <t>Business, Management and Accounting | Decision Sciences | Social Sciences and Humanities</t>
  </si>
  <si>
    <t>Agricultural and Biological Sciences | Chemistry | Life Sciences | Physical Sciences and Engineering</t>
  </si>
  <si>
    <t>Economics and Finance | Social Sciences | Social Sciences and Humanities</t>
  </si>
  <si>
    <t>Chemical Engineering | Chemistry | Engineering and Technology | Materials Science | Physical Sciences and Engineering</t>
  </si>
  <si>
    <t>Physical Sciences and Engineering | Physics</t>
  </si>
  <si>
    <t>Life Sciences | Medicine</t>
  </si>
  <si>
    <t>Health Sciences | Life Sciences | Medicine | Psychology | Social Sciences and Humanities</t>
  </si>
  <si>
    <t>Decision Sciences | Social Sciences | Social Sciences and Humanities</t>
  </si>
  <si>
    <t>Health Sciences | Life Sciences | Neuroscience</t>
  </si>
  <si>
    <t>Earth and Planetary Sciences | Life Sciences | Physical Sciences and Engineering</t>
  </si>
  <si>
    <t>Psychology | Social Sciences | Social Sciences and Humanities</t>
  </si>
  <si>
    <t>Mathematics | Physical Sciences and Engineering</t>
  </si>
  <si>
    <t>Health Sciences | Immunology | Medicine</t>
  </si>
  <si>
    <t>Health Sciences | Immunology | Life Sciences | Medicine</t>
  </si>
  <si>
    <t>Energy and Power | Environmental Sciences | Life Sciences | Physical Sciences and Engineering</t>
  </si>
  <si>
    <t>Agricultural and Biological Sciences | Chemical Engineering | Chemistry | Life Sciences | Physical Sciences and Engineering</t>
  </si>
  <si>
    <t>Materials Science | Physical Sciences and Engineering</t>
  </si>
  <si>
    <t>Computer Science | Engineering and Technology | Physical Sciences and Engineering</t>
  </si>
  <si>
    <t>10.1016/apor</t>
  </si>
  <si>
    <t>Chemical Engineering | Energy and Power | Environmental Sciences | Life Sciences | Physical Sciences and Engineering</t>
  </si>
  <si>
    <t>Chemical Engineering | Materials Science | Physical Sciences and Engineering</t>
  </si>
  <si>
    <t>Agricultural and Biological Sciences | Life Sciences | Physical Sciences and Engineering</t>
  </si>
  <si>
    <t>Agricultural and Biological Sciences | Health Sciences | Life Sciences</t>
  </si>
  <si>
    <t>10.1016/polymertesting</t>
  </si>
  <si>
    <t>Computer Science | Physical Sciences and Engineering</t>
  </si>
  <si>
    <t>Health Sciences | Life Sciences | Pharmacology</t>
  </si>
  <si>
    <t>Life Sciences | Physical Sciences and Engineering</t>
  </si>
  <si>
    <t>Health Sciences | Life Sciences | Microbiology and Virology</t>
  </si>
  <si>
    <t>Health Sciences | Medicine</t>
  </si>
  <si>
    <t>10.1016/ecolind</t>
  </si>
  <si>
    <t>Health Sciences | Life Sciences | Medicine | Microbiology and Virology</t>
  </si>
  <si>
    <t>Economics and Finance | Social Sciences and Humanities</t>
  </si>
  <si>
    <t>Energy and Power | Engineering and Technology | Physical Sciences and Engineering</t>
  </si>
  <si>
    <t>10.1016/ijepes</t>
  </si>
  <si>
    <t>Chemical Engineering | Environmental Sciences | Life Sciences | Physical Sciences and Engineering</t>
  </si>
  <si>
    <t>Health Professions | Health Sciences | Medicine</t>
  </si>
  <si>
    <t>10.1016/matdes</t>
  </si>
  <si>
    <t>Health Sciences | Medicine | Physical Sciences and Engineering | Physics</t>
  </si>
  <si>
    <t>Health Sciences | Immunology | Life Sciences | Medicine | Microbiology and Virology</t>
  </si>
  <si>
    <t>10.1016/tmaid</t>
  </si>
  <si>
    <t>Health Sciences | Medicine | Social Sciences and Humanities</t>
  </si>
  <si>
    <t>International Journal of Infectious Diseases</t>
  </si>
  <si>
    <t>1201-9712</t>
  </si>
  <si>
    <t>10.1016/ijid</t>
  </si>
  <si>
    <t>Health Professions | Health Sciences</t>
  </si>
  <si>
    <t>Life Sciences | Materials Science | Physical Sciences and Engineering</t>
  </si>
  <si>
    <t>Health Professions | Health Sciences | Medicine | Nursing and Midwifery</t>
  </si>
  <si>
    <t>Health Sciences | Nursing and Midwifery</t>
  </si>
  <si>
    <t>10.1016/jtv</t>
  </si>
  <si>
    <t>Engineering and Technology | Life Sciences | Physical Sciences and Engineering</t>
  </si>
  <si>
    <t>Respiratory Medicine Case Reports</t>
  </si>
  <si>
    <t>2213-0071</t>
  </si>
  <si>
    <t>10.1016/rmcr</t>
  </si>
  <si>
    <t>Life Sciences | Microbiology and Virology</t>
  </si>
  <si>
    <t>Decision Sciences | Economics and Finance | Social Sciences | Social Sciences and Humanities</t>
  </si>
  <si>
    <t>Health Sciences | Psychology | Social Sciences and Humanities</t>
  </si>
  <si>
    <t>Health Sciences | Medicine | Nursing and Midwifery</t>
  </si>
  <si>
    <t>Health Sciences | Life Sciences</t>
  </si>
  <si>
    <t>Environmental Sciences | Life Sciences | Medicine | Microbiology and Virology</t>
  </si>
  <si>
    <t>Health Sciences | Pharmaceutical Sciences</t>
  </si>
  <si>
    <t>10.1016/ejps</t>
  </si>
  <si>
    <t>Health Sciences | Life Sciences | Medicine | Neuroscience | Pharmacology | Social Sciences and Humanities</t>
  </si>
  <si>
    <t>10.1016/nbt</t>
  </si>
  <si>
    <t>Health Sciences | Immunology | Life Sciences | Microbiology and Virology</t>
  </si>
  <si>
    <t>Health Sciences | Life Sciences | Medicine | Toxicology</t>
  </si>
  <si>
    <t>10.1016/virusres</t>
  </si>
  <si>
    <t>10.1016/agwat</t>
  </si>
  <si>
    <t>Agricultural and Biological Sciences | Health Sciences | Life Sciences | Veterinary Science and Veterinary Medicine</t>
  </si>
  <si>
    <t>Agricultural and Biological Sciences | Chemistry | Life Sciences</t>
  </si>
  <si>
    <t>10.1016/indcrop</t>
  </si>
  <si>
    <t>10.1016/scienta</t>
  </si>
  <si>
    <t>Chemical Engineering | Chemistry | Physical Sciences and Engineering</t>
  </si>
  <si>
    <t>Chemical Engineering | Energy and Power | Physical Sciences and Engineering</t>
  </si>
  <si>
    <t>10.1016/fuproc</t>
  </si>
  <si>
    <t>Chemical Engineering | Physical Sciences and Engineering</t>
  </si>
  <si>
    <t>Energy and Power | Engineering and Technology | Materials Science | Physical Sciences and Engineering | Physics</t>
  </si>
  <si>
    <t>Chemical Engineering | Engineering and Technology | Medicine | Physical Sciences and Engineering | Physics</t>
  </si>
  <si>
    <t>10.1016/ultsonch</t>
  </si>
  <si>
    <t>Chemical Engineering | Engineering and Technology | Materials Science | Physical Sciences and Engineering | Physics</t>
  </si>
  <si>
    <t>Engineering and Technology | Life Sciences | Psychology | Social Sciences and Humanities</t>
  </si>
  <si>
    <t>10.1016/actpsy</t>
  </si>
  <si>
    <t>Computer Science | Mathematics | Physical Sciences and Engineering</t>
  </si>
  <si>
    <t>Computer Science | Mathematics | Physical Sciences and Engineering | Social Sciences and Humanities</t>
  </si>
  <si>
    <t>Computer Science | Life Sciences | Physical Sciences and Engineering</t>
  </si>
  <si>
    <t>10.1016/geoderma</t>
  </si>
  <si>
    <t>10.1016/oregeorev</t>
  </si>
  <si>
    <t>Business, Management and Accounting | Economics and Finance | Social Sciences and Humanities</t>
  </si>
  <si>
    <t>Economics and Finance | Health Sciences | Social Sciences | Social Sciences and Humanities</t>
  </si>
  <si>
    <t>10.1016/seares</t>
  </si>
  <si>
    <t>European Urology Open Science</t>
  </si>
  <si>
    <t>2666-1683</t>
  </si>
  <si>
    <t>10.1016/euros</t>
  </si>
  <si>
    <t>Computer Science | Engineering and Technology | Health Sciences | Physical Sciences and Engineering | Social Sciences</t>
  </si>
  <si>
    <t>10.1016/websem</t>
  </si>
  <si>
    <t>10.1016/pdpdt</t>
  </si>
  <si>
    <t>Stem Cell Research</t>
  </si>
  <si>
    <t>1873-5061</t>
  </si>
  <si>
    <t>10.1016/scr</t>
  </si>
  <si>
    <t>10.1016/ecoinf</t>
  </si>
  <si>
    <t>Health Sciences | Medicine | Social Sciences | Social Sciences and Humanities</t>
  </si>
  <si>
    <t>10.1016/jag</t>
  </si>
  <si>
    <t>Immunology | Life Sciences</t>
  </si>
  <si>
    <t>Applied Catalysis O: Open</t>
  </si>
  <si>
    <t>2950-6484</t>
  </si>
  <si>
    <t>10.1016/apcato</t>
  </si>
  <si>
    <t>10.1016/meegid</t>
  </si>
  <si>
    <t>Journal of Infection and Public Health</t>
  </si>
  <si>
    <t>1876-0341</t>
  </si>
  <si>
    <t>10.1016/jiph</t>
  </si>
  <si>
    <t>10.1016/jff</t>
  </si>
  <si>
    <t>Developmental Cognitive Neuroscience</t>
  </si>
  <si>
    <t>1878-9293</t>
  </si>
  <si>
    <t>10.1016/dcn</t>
  </si>
  <si>
    <t>10.1016/elecom</t>
  </si>
  <si>
    <t>10.1016/iref</t>
  </si>
  <si>
    <t>Psychology | Social Sciences and Humanities</t>
  </si>
  <si>
    <t>Health Sciences | Pharmacology</t>
  </si>
  <si>
    <t>10.1016/brainresbull</t>
  </si>
  <si>
    <t>Health Sciences | Immunology | Life Sciences | Neuroscience</t>
  </si>
  <si>
    <t>10.1016/exger</t>
  </si>
  <si>
    <t>Health Sciences | Medicine | Physical Sciences and Engineering</t>
  </si>
  <si>
    <t>Health Sciences | Life Sciences | Medicine | Physical Sciences and Engineering</t>
  </si>
  <si>
    <t>Current Therapeutic Research</t>
  </si>
  <si>
    <t>0011-393X</t>
  </si>
  <si>
    <t>10.1016/curtheres</t>
  </si>
  <si>
    <t>Health Sciences | Medicine | Neuroscience</t>
  </si>
  <si>
    <t>10.1016/wneu</t>
  </si>
  <si>
    <t>10.1016/brs</t>
  </si>
  <si>
    <t>Health Sciences | Medicine | Social Sciences</t>
  </si>
  <si>
    <t>10.1016/neures</t>
  </si>
  <si>
    <t>Atherosclerosis Plus</t>
  </si>
  <si>
    <t>2667-0895</t>
  </si>
  <si>
    <t>10.1016/athplu</t>
  </si>
  <si>
    <t>IJC Heart &amp; Vasculature</t>
  </si>
  <si>
    <t>2352-9067</t>
  </si>
  <si>
    <t>10.1016/ijcha</t>
  </si>
  <si>
    <t>Clinical and Translational Radiation Oncology</t>
  </si>
  <si>
    <t>2405-6308</t>
  </si>
  <si>
    <t>10.1016/ctro</t>
  </si>
  <si>
    <t>Technical Innovations &amp; Patient Support in Radiation Oncology</t>
  </si>
  <si>
    <t>2405-6324</t>
  </si>
  <si>
    <t>10.1016/tipsro</t>
  </si>
  <si>
    <t>Physics and Imaging in Radiation Oncology</t>
  </si>
  <si>
    <t>2405-6316</t>
  </si>
  <si>
    <t>10.1016/phro</t>
  </si>
  <si>
    <t>10.1016/cjac</t>
  </si>
  <si>
    <t>Epidemics</t>
  </si>
  <si>
    <t>1755-4365</t>
  </si>
  <si>
    <t>10.1016/epidem</t>
  </si>
  <si>
    <t>Chemical Engineering | Life Sciences | Physical Sciences and Engineering</t>
  </si>
  <si>
    <t>10.1016/srhc</t>
  </si>
  <si>
    <t>Journal of Exercise Science &amp; Fitness</t>
  </si>
  <si>
    <t>1728-869X</t>
  </si>
  <si>
    <t>10.1016/jesf</t>
  </si>
  <si>
    <t>Journal of Advanced Research</t>
  </si>
  <si>
    <t>2090-1232</t>
  </si>
  <si>
    <t>10.1016/jare</t>
  </si>
  <si>
    <t>Journal of Microbiology, Immunology and Infection</t>
  </si>
  <si>
    <t>1684-1182</t>
  </si>
  <si>
    <t>10.1016/jmii</t>
  </si>
  <si>
    <t>Egyptian Informatics Journal</t>
  </si>
  <si>
    <t>1110-8665</t>
  </si>
  <si>
    <t>10.1016/eij</t>
  </si>
  <si>
    <t>The Egyptian Journal of Remote Sensing and Space Sciences</t>
  </si>
  <si>
    <t>Astronomy, Astrophysics, Space Science | Physical Sciences and Engineering</t>
  </si>
  <si>
    <t>1110-9823</t>
  </si>
  <si>
    <t>10.1016/ejrs</t>
  </si>
  <si>
    <t>Journal of Genetic Engineering and Biotechnology</t>
  </si>
  <si>
    <t>1687-157X</t>
  </si>
  <si>
    <t>10.1016/jgeb</t>
  </si>
  <si>
    <t>Environmental Sciences | Life Sciences | Social Sciences and Humanities</t>
  </si>
  <si>
    <t>Ain Shams Engineering Journal</t>
  </si>
  <si>
    <t>2090-4479</t>
  </si>
  <si>
    <t>10.1016/asej</t>
  </si>
  <si>
    <t>Alexandria Engineering Journal</t>
  </si>
  <si>
    <t>1110-0168</t>
  </si>
  <si>
    <t>10.1016/aej</t>
  </si>
  <si>
    <t>African Journal of Emergency Medicine</t>
  </si>
  <si>
    <t>2211-419X</t>
  </si>
  <si>
    <t>10.1016/afjem</t>
  </si>
  <si>
    <t>Acta Pharmaceutica Sinica B</t>
  </si>
  <si>
    <t>2211-3835</t>
  </si>
  <si>
    <t>10.1016/apsb</t>
  </si>
  <si>
    <t>Results in Physics</t>
  </si>
  <si>
    <t>2211-3797</t>
  </si>
  <si>
    <t>10.1016/rinp</t>
  </si>
  <si>
    <t>Annals of Agricultural Sciences</t>
  </si>
  <si>
    <t>0570-1783</t>
  </si>
  <si>
    <t>10.1016/aoas</t>
  </si>
  <si>
    <t>Journal of Pharmaceutical Analysis</t>
  </si>
  <si>
    <t>2095-1779</t>
  </si>
  <si>
    <t>10.1016/jpha</t>
  </si>
  <si>
    <t>CC BY-NC-ND</t>
  </si>
  <si>
    <t>Medical Mycology Case Reports</t>
  </si>
  <si>
    <t>2211-7539</t>
  </si>
  <si>
    <t>10.1016/mmcr</t>
  </si>
  <si>
    <t>Health Sciences | Life Sciences | Medicine | Pharmacology</t>
  </si>
  <si>
    <t>International Journal of Africa Nursing Sciences</t>
  </si>
  <si>
    <t>2214-1391</t>
  </si>
  <si>
    <t>10.1016/ijans</t>
  </si>
  <si>
    <t>Journal of Hydrology: Regional Studies</t>
  </si>
  <si>
    <t>2214-5818</t>
  </si>
  <si>
    <t>10.1016/ejrh</t>
  </si>
  <si>
    <t>10.1016/biopha</t>
  </si>
  <si>
    <t>Chemical Engineering | Chemistry | Materials Science | Physical Sciences and Engineering</t>
  </si>
  <si>
    <t>10.1016/ejmg</t>
  </si>
  <si>
    <t>Agricultural and Biological Sciences | Immunology | Life Sciences</t>
  </si>
  <si>
    <t>10.1016/ejcb</t>
  </si>
  <si>
    <t>Environmental Sciences | Life Sciences | Social Sciences</t>
  </si>
  <si>
    <t>10.1016/baae</t>
  </si>
  <si>
    <t>Environmental Sciences | Health Sciences | Life Sciences | Medicine</t>
  </si>
  <si>
    <t>10.1016/ijmm</t>
  </si>
  <si>
    <t>10.1016/imbio</t>
  </si>
  <si>
    <t>10.1016/zemedi</t>
  </si>
  <si>
    <t>Agricultural and Biological Sciences | Health Sciences | Life Sciences | Medicine</t>
  </si>
  <si>
    <t>10.1016/ttbdis</t>
  </si>
  <si>
    <t>Dentistry | Health Sciences</t>
  </si>
  <si>
    <t>10.1016/jobcr</t>
  </si>
  <si>
    <t>Soils and Foundations</t>
  </si>
  <si>
    <t>0038-0806</t>
  </si>
  <si>
    <t>10.1016/sandf</t>
  </si>
  <si>
    <t>Water Resources and Industry</t>
  </si>
  <si>
    <t>Engineering and Technology | Environmental Sciences | Life Sciences</t>
  </si>
  <si>
    <t>2212-3717</t>
  </si>
  <si>
    <t>10.1016/wri</t>
  </si>
  <si>
    <t>The Asian Journal of Shipping and Logistics</t>
  </si>
  <si>
    <t>2092-5212</t>
  </si>
  <si>
    <t>10.1016/ajsl</t>
  </si>
  <si>
    <t>Leukemia Research Reports</t>
  </si>
  <si>
    <t>2213-0489</t>
  </si>
  <si>
    <t>10.1016/lrr</t>
  </si>
  <si>
    <t>Climate Risk Management</t>
  </si>
  <si>
    <t>Business, Management and Accounting | Earth and Planetary Sciences | Environmental Sciences | Life Sciences | Physical Sciences and Engineering | Social Sciences and Humanities</t>
  </si>
  <si>
    <t>2212-0963</t>
  </si>
  <si>
    <t>10.1016/crm</t>
  </si>
  <si>
    <t>Redox Biology</t>
  </si>
  <si>
    <t>2213-2317</t>
  </si>
  <si>
    <t>10.1016/redox</t>
  </si>
  <si>
    <t>10.1016/chmed</t>
  </si>
  <si>
    <t>International Journal for Parasitology: Parasites and Wildlife</t>
  </si>
  <si>
    <t>2213-2244</t>
  </si>
  <si>
    <t>10.1016/ijppaw</t>
  </si>
  <si>
    <t>Egyptian Journal of Aquatic Research</t>
  </si>
  <si>
    <t>1687-4285</t>
  </si>
  <si>
    <t>10.1016/ejar</t>
  </si>
  <si>
    <t>10.1016/cegh</t>
  </si>
  <si>
    <t>Weather and Climate Extremes</t>
  </si>
  <si>
    <t>Earth and Planetary Sciences | Life Sciences | Mathematics | Physical Sciences and Engineering | Social Sciences | Social Sciences and Humanities</t>
  </si>
  <si>
    <t>2212-0947</t>
  </si>
  <si>
    <t>10.1016/wace</t>
  </si>
  <si>
    <t>Decision Sciences | Engineering and Technology | Physical Sciences and Engineering | Social Sciences | Social Sciences and Humanities</t>
  </si>
  <si>
    <t>10.1016/jgar</t>
  </si>
  <si>
    <t>Metabolic Engineering Communications</t>
  </si>
  <si>
    <t>Energy and Power | Life Sciences | Physical Sciences and Engineering</t>
  </si>
  <si>
    <t>2214-0301</t>
  </si>
  <si>
    <t>10.1016/meteno</t>
  </si>
  <si>
    <t>Ampersand</t>
  </si>
  <si>
    <t>2215-0390</t>
  </si>
  <si>
    <t>10.1016/amper</t>
  </si>
  <si>
    <t>Journal of Bone Oncology</t>
  </si>
  <si>
    <t>2212-1374</t>
  </si>
  <si>
    <t>10.1016/jbo</t>
  </si>
  <si>
    <t>Molecular Metabolism</t>
  </si>
  <si>
    <t>2212-8778</t>
  </si>
  <si>
    <t>10.1016/molmet</t>
  </si>
  <si>
    <t>Photoacoustics</t>
  </si>
  <si>
    <t>2213-5979</t>
  </si>
  <si>
    <t>10.1016/pacs</t>
  </si>
  <si>
    <t>Translational Research in Anatomy</t>
  </si>
  <si>
    <t>2214-854X</t>
  </si>
  <si>
    <t>10.1016/tria</t>
  </si>
  <si>
    <t>NFS Journal</t>
  </si>
  <si>
    <t>Agricultural and Biological Sciences | Health Sciences | Life Sciences | Nursing and Midwifery | Social Sciences and Humanities</t>
  </si>
  <si>
    <t>2352-3646</t>
  </si>
  <si>
    <t>10.1016/nfs</t>
  </si>
  <si>
    <t>10.1016/biocontrol</t>
  </si>
  <si>
    <t>10.1016/ecoenv</t>
  </si>
  <si>
    <t>10.1016/yexmp</t>
  </si>
  <si>
    <t>10.1016/ygeno</t>
  </si>
  <si>
    <t>10.1016/gmod</t>
  </si>
  <si>
    <t>10.1016/nbd</t>
  </si>
  <si>
    <t>10.1016/neuroimage</t>
  </si>
  <si>
    <t>Stem Cell Reports</t>
  </si>
  <si>
    <t>2213-6711</t>
  </si>
  <si>
    <t>10.1016/stemcr</t>
  </si>
  <si>
    <t>10.1016/lwt</t>
  </si>
  <si>
    <t>10.1016/jinf</t>
  </si>
  <si>
    <t>10.1016/mcp</t>
  </si>
  <si>
    <t>10.1016/phrs</t>
  </si>
  <si>
    <t>Agricultural and Biological Sciences | Health Sciences | Life Sciences | Medicine | Microbiology and Virology</t>
  </si>
  <si>
    <t>10.1016/breast</t>
  </si>
  <si>
    <t>10.1016/ctim</t>
  </si>
  <si>
    <t>10.1016/jcou</t>
  </si>
  <si>
    <t>International Journal of Surgery Case Reports</t>
  </si>
  <si>
    <t>2210-2612</t>
  </si>
  <si>
    <t>10.1016/ijscr</t>
  </si>
  <si>
    <t>Economics and Finance | Energy and Power | Life Sciences | Physical Sciences and Engineering | Social Sciences and Humanities</t>
  </si>
  <si>
    <t>10.1016/esr</t>
  </si>
  <si>
    <t>International Journal for Parasitology: Drugs and Drug Resistance</t>
  </si>
  <si>
    <t>2211-3207</t>
  </si>
  <si>
    <t>10.1016/ijpddr</t>
  </si>
  <si>
    <t>EJVES Vascular Forum</t>
  </si>
  <si>
    <t>2666-688X</t>
  </si>
  <si>
    <t>10.1016/ejvsvf</t>
  </si>
  <si>
    <t>eNeurologicalSci</t>
  </si>
  <si>
    <t>2405-6502</t>
  </si>
  <si>
    <t>10.1016/ensci</t>
  </si>
  <si>
    <t>10.1016/amjoto</t>
  </si>
  <si>
    <t>10.1067/cpsurg</t>
  </si>
  <si>
    <t>Health Sciences | Life Sciences | Medicine | Social Sciences and Humanities</t>
  </si>
  <si>
    <t>10.1016/comppsych</t>
  </si>
  <si>
    <t>CC BY</t>
  </si>
  <si>
    <t>Journal of Stroke &amp; Cerebrovascular Diseases</t>
  </si>
  <si>
    <t>10.1016/jstrokecerebrovasdis</t>
  </si>
  <si>
    <t>Journal of Dairy Science</t>
  </si>
  <si>
    <t>0022-0302</t>
  </si>
  <si>
    <t>10.1016/jods</t>
  </si>
  <si>
    <t>NeuroImage: Clinical</t>
  </si>
  <si>
    <t>2213-1582</t>
  </si>
  <si>
    <t>10.1016/nicl</t>
  </si>
  <si>
    <t>Toxicology Reports</t>
  </si>
  <si>
    <t>2214-7500</t>
  </si>
  <si>
    <t>10.1016/toxrep</t>
  </si>
  <si>
    <t>Journal of Clinical and Translational Endocrinology</t>
  </si>
  <si>
    <t>2214-6237</t>
  </si>
  <si>
    <t>10.1016/jcte</t>
  </si>
  <si>
    <t>Neurotherapeutics</t>
  </si>
  <si>
    <t>1878-7479</t>
  </si>
  <si>
    <t>10.1016/neurot</t>
  </si>
  <si>
    <t>Preventive Medicine Reports</t>
  </si>
  <si>
    <t>2211-3355</t>
  </si>
  <si>
    <t>10.1016/pmedr</t>
  </si>
  <si>
    <t>Gynecologic Oncology Reports</t>
  </si>
  <si>
    <t>2352-5789</t>
  </si>
  <si>
    <t>10.1016/gore</t>
  </si>
  <si>
    <t>Epilepsy &amp; Behavior Reports</t>
  </si>
  <si>
    <t>2589-9864</t>
  </si>
  <si>
    <t>10.1016/ebr</t>
  </si>
  <si>
    <t>Cell Reports</t>
  </si>
  <si>
    <t>2211-1247</t>
  </si>
  <si>
    <t>10.1016/celrep</t>
  </si>
  <si>
    <t>10.1016/vhri</t>
  </si>
  <si>
    <t>Arthroscopy Techniques</t>
  </si>
  <si>
    <t>2212-6287</t>
  </si>
  <si>
    <t>10.1016/eats</t>
  </si>
  <si>
    <t>Health Professions | Health Sciences | Life Sciences | Medicine</t>
  </si>
  <si>
    <t>10.1016/jvsv</t>
  </si>
  <si>
    <t>Journal of Pediatric Surgery Case Reports</t>
  </si>
  <si>
    <t>2213-5766</t>
  </si>
  <si>
    <t>10.1016/epsc</t>
  </si>
  <si>
    <t>HeartRhythm Case Reports</t>
  </si>
  <si>
    <t>2214-0271</t>
  </si>
  <si>
    <t>10.1016/hrcr</t>
  </si>
  <si>
    <t>Molecular Genetics and Metabolism Reports</t>
  </si>
  <si>
    <t>2214-4269</t>
  </si>
  <si>
    <t>10.1016/ymgmr</t>
  </si>
  <si>
    <t>Human Pathology Reports</t>
  </si>
  <si>
    <t>2772-736X</t>
  </si>
  <si>
    <t>10.1016/hpr</t>
  </si>
  <si>
    <t>Urology Case Reports</t>
  </si>
  <si>
    <t>2214-4420</t>
  </si>
  <si>
    <t>10.1016/eucr</t>
  </si>
  <si>
    <t>Oral and Maxillofacial Surgery Cases</t>
  </si>
  <si>
    <t>2214-5419</t>
  </si>
  <si>
    <t>10.1016/omsc</t>
  </si>
  <si>
    <t>Schizophrenia Research: Cognition</t>
  </si>
  <si>
    <t>2215-0013</t>
  </si>
  <si>
    <t>10.1016/scog</t>
  </si>
  <si>
    <t>Neoplasia</t>
  </si>
  <si>
    <t>1476-5586</t>
  </si>
  <si>
    <t>10.1016/neo</t>
  </si>
  <si>
    <t>Translational Oncology</t>
  </si>
  <si>
    <t>1936-5233</t>
  </si>
  <si>
    <t>10.1016/tranon</t>
  </si>
  <si>
    <t>Human Nutrition &amp; Metabolism</t>
  </si>
  <si>
    <t>2666-1497</t>
  </si>
  <si>
    <t>10.1016/hnm</t>
  </si>
  <si>
    <t>Health Sciences | Life Sciences | Medicine | Nursing and Midwifery</t>
  </si>
  <si>
    <t>Atención Primaria</t>
  </si>
  <si>
    <t>0212-6567</t>
  </si>
  <si>
    <t>10.1016/aprim</t>
  </si>
  <si>
    <t>Journal of Optometry</t>
  </si>
  <si>
    <t>1888-4296</t>
  </si>
  <si>
    <t>10.1016/optom</t>
  </si>
  <si>
    <t>Revista Argentina de Microbiología</t>
  </si>
  <si>
    <t>0325-7541</t>
  </si>
  <si>
    <t>10.1016/ram</t>
  </si>
  <si>
    <t>International Journal of Clinical and Health Psychology</t>
  </si>
  <si>
    <t>1697-2600</t>
  </si>
  <si>
    <t>10.1016/ijchp</t>
  </si>
  <si>
    <t>The Brazilian Journal of Infectious Diseases</t>
  </si>
  <si>
    <t>1413-8670</t>
  </si>
  <si>
    <t>10.1016/bjid</t>
  </si>
  <si>
    <t>Brazilian Journal of Otorhinolaryngology</t>
  </si>
  <si>
    <t>1808-8694</t>
  </si>
  <si>
    <t>10.1016/bjorl</t>
  </si>
  <si>
    <t>European Research on Management and Business Economics</t>
  </si>
  <si>
    <t>2444-8834</t>
  </si>
  <si>
    <t>10.1016/iedeen</t>
  </si>
  <si>
    <t>Journal of Materials Research and Technology</t>
  </si>
  <si>
    <t>2238-7854</t>
  </si>
  <si>
    <t>10.1016/jmrt</t>
  </si>
  <si>
    <t>Educación Médica</t>
  </si>
  <si>
    <t>1575-1813</t>
  </si>
  <si>
    <t>CC BY-NC, CC BY-NC-ND</t>
  </si>
  <si>
    <t>10.1016/edumed</t>
  </si>
  <si>
    <t>Journal of Innovation &amp; Knowledge</t>
  </si>
  <si>
    <t>2444-569X</t>
  </si>
  <si>
    <t>10.1016/jik</t>
  </si>
  <si>
    <t>Medicina Clínica Práctica</t>
  </si>
  <si>
    <t>2603-9249</t>
  </si>
  <si>
    <t>10.1016/mcpsp</t>
  </si>
  <si>
    <t>Boletín de la Sociedad Española de Cerámica y Vidrio</t>
  </si>
  <si>
    <t>0366-3175</t>
  </si>
  <si>
    <t>10.1016/bsecv</t>
  </si>
  <si>
    <t>Journal of Orthopaedic Translation</t>
  </si>
  <si>
    <t>2214-031X</t>
  </si>
  <si>
    <t>10.1016/jot</t>
  </si>
  <si>
    <t>Case Studies in Thermal Engineering</t>
  </si>
  <si>
    <t>2214-157X</t>
  </si>
  <si>
    <t>10.1016/csite</t>
  </si>
  <si>
    <t>The Lancet Global Health</t>
  </si>
  <si>
    <t>2214-109X</t>
  </si>
  <si>
    <t>Information Processing in Agriculture</t>
  </si>
  <si>
    <t>2214-3173</t>
  </si>
  <si>
    <t>10.1016/inpa</t>
  </si>
  <si>
    <t>Case Studies in Construction Materials</t>
  </si>
  <si>
    <t>2214-5095</t>
  </si>
  <si>
    <t>10.1016/cscm</t>
  </si>
  <si>
    <t>Operations Research Perspectives</t>
  </si>
  <si>
    <t>Decision Sciences | Physical Sciences and Engineering | Social Sciences and Humanities</t>
  </si>
  <si>
    <t>2214-7160</t>
  </si>
  <si>
    <t>10.1016/orp</t>
  </si>
  <si>
    <t>Journal of Radiation Research and Applied Sciences</t>
  </si>
  <si>
    <t>Agricultural and Biological Sciences | Environmental Sciences | Health Sciences | Life Sciences | Materials Science | Physical Sciences and Engineering</t>
  </si>
  <si>
    <t>1687-8507</t>
  </si>
  <si>
    <t>10.1016/jrras</t>
  </si>
  <si>
    <t>Case Reports in Women's Health</t>
  </si>
  <si>
    <t>2214-9112</t>
  </si>
  <si>
    <t>10.1016/crwh</t>
  </si>
  <si>
    <t>MethodsX</t>
  </si>
  <si>
    <t>2215-0161</t>
  </si>
  <si>
    <t>10.1016/mex</t>
  </si>
  <si>
    <t>Biotechnology Reports</t>
  </si>
  <si>
    <t>2215-017X</t>
  </si>
  <si>
    <t>10.1016/btre</t>
  </si>
  <si>
    <t>10.1016/colcom</t>
  </si>
  <si>
    <t>Electronic Journal of Biotechnology</t>
  </si>
  <si>
    <t>Chemical Engineering | Life Sciences | Medicine | Physical Sciences and Engineering</t>
  </si>
  <si>
    <t>0717-3458</t>
  </si>
  <si>
    <t>10.1016/ejbt</t>
  </si>
  <si>
    <t>Global Ecology and Conservation</t>
  </si>
  <si>
    <t>2351-9894</t>
  </si>
  <si>
    <t>10.1016/gecco</t>
  </si>
  <si>
    <t>European Journal of Radiology Open</t>
  </si>
  <si>
    <t>2352-0477</t>
  </si>
  <si>
    <t>10.1016/ejro</t>
  </si>
  <si>
    <t>Nuclear Materials and Energy</t>
  </si>
  <si>
    <t>2352-1791</t>
  </si>
  <si>
    <t>10.1016/nme</t>
  </si>
  <si>
    <t>10.1016/ctarc</t>
  </si>
  <si>
    <t>IDCases</t>
  </si>
  <si>
    <t>2214-2509</t>
  </si>
  <si>
    <t>10.1016/idcr</t>
  </si>
  <si>
    <t>Sensing and Bio-Sensing Research</t>
  </si>
  <si>
    <t>2214-1804</t>
  </si>
  <si>
    <t>10.1016/sbsr</t>
  </si>
  <si>
    <t>Current Plant Biology</t>
  </si>
  <si>
    <t>2214-6628</t>
  </si>
  <si>
    <t>10.1016/cpb</t>
  </si>
  <si>
    <t>Internet Interventions</t>
  </si>
  <si>
    <t>Health Sciences | Medicine | Physical Sciences and Engineering | Psychology</t>
  </si>
  <si>
    <t>2214-7829</t>
  </si>
  <si>
    <t>10.1016/invent</t>
  </si>
  <si>
    <t>Engineering Science and Technology, an International Journal</t>
  </si>
  <si>
    <t>2215-0986</t>
  </si>
  <si>
    <t>10.1016/jestch</t>
  </si>
  <si>
    <t>Interdisciplinary Neurosurgery</t>
  </si>
  <si>
    <t>2214-7519</t>
  </si>
  <si>
    <t>10.1016/inat</t>
  </si>
  <si>
    <t>10.1016/eti</t>
  </si>
  <si>
    <t>Regenerative Therapy</t>
  </si>
  <si>
    <t>Health Sciences | Life Sciences | Materials Science | Medicine</t>
  </si>
  <si>
    <t>2352-3204</t>
  </si>
  <si>
    <t>10.1016/reth</t>
  </si>
  <si>
    <t>eBioMedicine</t>
  </si>
  <si>
    <t>2352-3964</t>
  </si>
  <si>
    <t>10.1016/ebiom</t>
  </si>
  <si>
    <t>Aquaculture Reports</t>
  </si>
  <si>
    <t>2352-5134</t>
  </si>
  <si>
    <t>10.1016/aqrep</t>
  </si>
  <si>
    <t>Energy Reports</t>
  </si>
  <si>
    <t>2352-4847</t>
  </si>
  <si>
    <t>10.1016/egyr</t>
  </si>
  <si>
    <t>Trauma Case Reports</t>
  </si>
  <si>
    <t>2352-6440</t>
  </si>
  <si>
    <t>10.1016/tcr</t>
  </si>
  <si>
    <t>New Microbes and New Infections</t>
  </si>
  <si>
    <t>2052-2975</t>
  </si>
  <si>
    <t>10.1016/nmni</t>
  </si>
  <si>
    <t>SoftwareX</t>
  </si>
  <si>
    <t>Astronomy, Astrophysics, Space Science | Computer Science | Decision Sciences | Economics and Finance | Engineering and Technology | Environmental Sciences | Life Sciences | Physical Sciences and Engineering | Physics | Psychology | Social Sciences</t>
  </si>
  <si>
    <t>2352-7110</t>
  </si>
  <si>
    <t>CC BY, CC BY-NC</t>
  </si>
  <si>
    <t>10.1016/softx</t>
  </si>
  <si>
    <t>Practical Laboratory Medicine</t>
  </si>
  <si>
    <t>2352-5517</t>
  </si>
  <si>
    <t>10.1016/plabm</t>
  </si>
  <si>
    <t>Journal of Pharmacological Sciences</t>
  </si>
  <si>
    <t>1347-8613</t>
  </si>
  <si>
    <t>10.1016/jphs</t>
  </si>
  <si>
    <t>Addictive Behaviors Reports</t>
  </si>
  <si>
    <t>2352-8532</t>
  </si>
  <si>
    <t>10.1016/abrep</t>
  </si>
  <si>
    <t>SSM - Population Health</t>
  </si>
  <si>
    <t>Medicine | Social Sciences | Social Sciences and Humanities</t>
  </si>
  <si>
    <t>2352-8273</t>
  </si>
  <si>
    <t>10.1016/ssmph</t>
  </si>
  <si>
    <t>Informatics in Medicine Unlocked</t>
  </si>
  <si>
    <t>2352-9148</t>
  </si>
  <si>
    <t>10.1016/imu</t>
  </si>
  <si>
    <t>Clinical Nutrition Open Science</t>
  </si>
  <si>
    <t>2667-2685</t>
  </si>
  <si>
    <t>10.1016/nutos</t>
  </si>
  <si>
    <t>Journal of Urban Management</t>
  </si>
  <si>
    <t>2226-5856</t>
  </si>
  <si>
    <t>10.1016/jum</t>
  </si>
  <si>
    <t>Tumour Virus Research</t>
  </si>
  <si>
    <t>2666-6790</t>
  </si>
  <si>
    <t>10.1016/tvr</t>
  </si>
  <si>
    <t>Theoretical and Applied Mechanics Letters</t>
  </si>
  <si>
    <t>2095-0349</t>
  </si>
  <si>
    <t>10.1016/taml</t>
  </si>
  <si>
    <t>Biochemistry and Biophysics Reports</t>
  </si>
  <si>
    <t>2405-5808</t>
  </si>
  <si>
    <t>10.1016/bbrep</t>
  </si>
  <si>
    <t>Asia Pacific Management Review</t>
  </si>
  <si>
    <t>1029-3132</t>
  </si>
  <si>
    <t>10.1016/apmrv</t>
  </si>
  <si>
    <t>Reviews in Physics</t>
  </si>
  <si>
    <t>2405-4283</t>
  </si>
  <si>
    <t>10.1016/revip</t>
  </si>
  <si>
    <t>Journal of Clinical Tuberculosis and Other Mycobacterial Diseases</t>
  </si>
  <si>
    <t>2405-5794</t>
  </si>
  <si>
    <t>10.1016/jctube</t>
  </si>
  <si>
    <t>Journal of Materiomics</t>
  </si>
  <si>
    <t>2352-8478</t>
  </si>
  <si>
    <t>10.1016/jmat</t>
  </si>
  <si>
    <t>One Health</t>
  </si>
  <si>
    <t>2352-7714</t>
  </si>
  <si>
    <t>10.1016/onehlt</t>
  </si>
  <si>
    <t>Climate Services</t>
  </si>
  <si>
    <t>2405-8807</t>
  </si>
  <si>
    <t>10.1016/cliser</t>
  </si>
  <si>
    <t>Heliyon</t>
  </si>
  <si>
    <t>Agricultural and Biological Sciences | Arts and Humanities | Astronomy, Astrophysics, Space Science | Built Environment | Business, Management and Accounting | Chemical Engineering | Chemistry | Computer Science | Decision Sciences | Dentistry | Drug Discovery | Earth and Planetary Sciences | Economics and Finance | Energy and Power | Engineering and Technology | Environmental Sciences | Forensics | Health Professions | Health Sciences | Immunology | Life Sciences | Materials Science | Mathematics | Medicine | Microbiology and Virology | Neuroscience | Nursing and Midwifery | Pharmaceutical Sciences | Pharmacology | Physical Sciences and Engineering | Physics | Psychology | Social Sciences | Social Sciences and Humanities | Toxicology | Veterinary Science and Veterinary Medicine</t>
  </si>
  <si>
    <t>2405-8440</t>
  </si>
  <si>
    <t>10.1016/heliyon</t>
  </si>
  <si>
    <t>ICT Express</t>
  </si>
  <si>
    <t>2405-9595</t>
  </si>
  <si>
    <t>10.1016/icte</t>
  </si>
  <si>
    <t>Health Sciences | Veterinary Science and Veterinary Medicine</t>
  </si>
  <si>
    <t>Parasite Epidemiology and Control</t>
  </si>
  <si>
    <t>2405-6731</t>
  </si>
  <si>
    <t>10.1016/parepi</t>
  </si>
  <si>
    <t>Veterinary and Animal Science</t>
  </si>
  <si>
    <t>2451-943X</t>
  </si>
  <si>
    <t>10.1016/vas</t>
  </si>
  <si>
    <t>South African Journal of Chemical Engineering</t>
  </si>
  <si>
    <t>1026-9185</t>
  </si>
  <si>
    <t>10.1016/sajce</t>
  </si>
  <si>
    <t>IBRO Neuroscience Reports</t>
  </si>
  <si>
    <t>2667-2421</t>
  </si>
  <si>
    <t>10.1016/ibneur</t>
  </si>
  <si>
    <t>International Journal of Naval Architecture and Ocean Engineering</t>
  </si>
  <si>
    <t>2092-6782</t>
  </si>
  <si>
    <t>10.1016/ijnaoe</t>
  </si>
  <si>
    <t>Engineering</t>
  </si>
  <si>
    <t>2095-8099</t>
  </si>
  <si>
    <t>10.1016/eng</t>
  </si>
  <si>
    <t>HardwareX</t>
  </si>
  <si>
    <t>2468-0672</t>
  </si>
  <si>
    <t>10.1016/ohx</t>
  </si>
  <si>
    <t>Biomedical Journal</t>
  </si>
  <si>
    <t>2319-4170</t>
  </si>
  <si>
    <t>10.1016/bj</t>
  </si>
  <si>
    <t>Journal of Science: Advanced Materials and Devices</t>
  </si>
  <si>
    <t>2468-2179</t>
  </si>
  <si>
    <t>10.1016/jsamd</t>
  </si>
  <si>
    <t>Clinical Neurophysiology Practice</t>
  </si>
  <si>
    <t>2467-981X</t>
  </si>
  <si>
    <t>10.1016/cnp</t>
  </si>
  <si>
    <t>Journal of Ayurveda and Integrative Medicine</t>
  </si>
  <si>
    <t>0975-9476</t>
  </si>
  <si>
    <t>10.1016/jaim</t>
  </si>
  <si>
    <t>The Lancet Public Health</t>
  </si>
  <si>
    <t>2468-2667</t>
  </si>
  <si>
    <t>Burns Open</t>
  </si>
  <si>
    <t>2468-9122</t>
  </si>
  <si>
    <t>10.1016/burnso</t>
  </si>
  <si>
    <t>The Lancet Planetary Health</t>
  </si>
  <si>
    <t>2542-5196</t>
  </si>
  <si>
    <t>10.1016/tcsw</t>
  </si>
  <si>
    <t>JSES International</t>
  </si>
  <si>
    <t>2666-6383</t>
  </si>
  <si>
    <t>10.1016/jseint</t>
  </si>
  <si>
    <t>Chemistry | Energy and Power | Materials Science | Physical Sciences and Engineering</t>
  </si>
  <si>
    <t>10.1016/mtsust</t>
  </si>
  <si>
    <t>Scientific African</t>
  </si>
  <si>
    <t>Health Sciences | Life Sciences | Physical Sciences and Engineering | Social Sciences</t>
  </si>
  <si>
    <t>2468-2276</t>
  </si>
  <si>
    <t>10.1016/sciaf</t>
  </si>
  <si>
    <t>eClinicalMedicine</t>
  </si>
  <si>
    <t>2589-5370</t>
  </si>
  <si>
    <t>10.1016/eclinm</t>
  </si>
  <si>
    <t>Forensic Science International: Synergy</t>
  </si>
  <si>
    <t>Forensics | Health Sciences | Social Sciences</t>
  </si>
  <si>
    <t>2589-871X</t>
  </si>
  <si>
    <t>10.1016/fsisyn</t>
  </si>
  <si>
    <t>Earth System Governance</t>
  </si>
  <si>
    <t>2589-8116</t>
  </si>
  <si>
    <t>10.1016/esg</t>
  </si>
  <si>
    <t>Journal of Hydrology X</t>
  </si>
  <si>
    <t>2589-9155</t>
  </si>
  <si>
    <t>10.1016/hydroa</t>
  </si>
  <si>
    <t>Water Research X</t>
  </si>
  <si>
    <t>Built Environment | Engineering and Technology | Environmental Sciences | Life Sciences | Physical Sciences and Engineering</t>
  </si>
  <si>
    <t>2589-9147</t>
  </si>
  <si>
    <t>10.1016/wroa</t>
  </si>
  <si>
    <t>Matrix Biology Plus</t>
  </si>
  <si>
    <t>2590-0285</t>
  </si>
  <si>
    <t>10.1016/mbplus</t>
  </si>
  <si>
    <t>Journal of Asian Earth Sciences: X</t>
  </si>
  <si>
    <t>2590-0560</t>
  </si>
  <si>
    <t>10.1016/jaesx</t>
  </si>
  <si>
    <t>The Lancet Digital Health</t>
  </si>
  <si>
    <t>Decision Sciences | Health Sciences | Medicine | Social Sciences and Humanities</t>
  </si>
  <si>
    <t>2589-7500</t>
  </si>
  <si>
    <t>10.1016/landig</t>
  </si>
  <si>
    <t>JHEP Reports</t>
  </si>
  <si>
    <t>2589-5559</t>
  </si>
  <si>
    <t>10.1016/jhepr</t>
  </si>
  <si>
    <t>Journal of Non-Crystalline Solids: X</t>
  </si>
  <si>
    <t>2590-1591</t>
  </si>
  <si>
    <t>10.1016/nocx</t>
  </si>
  <si>
    <t>Biosensors and Bioelectronics: X</t>
  </si>
  <si>
    <t>Chemistry | Engineering and Technology | Life Sciences | Physical Sciences and Engineering</t>
  </si>
  <si>
    <t>2590-1370</t>
  </si>
  <si>
    <t>10.1016/biosx</t>
  </si>
  <si>
    <t>International Journal of Pharmaceutics: X</t>
  </si>
  <si>
    <t>2590-1567</t>
  </si>
  <si>
    <t>10.1016/ijpx</t>
  </si>
  <si>
    <t>Optical Materials: X</t>
  </si>
  <si>
    <t>2590-1478</t>
  </si>
  <si>
    <t>10.1016/omx</t>
  </si>
  <si>
    <t>Materials Letters: X</t>
  </si>
  <si>
    <t>2590-1508</t>
  </si>
  <si>
    <t>10.1016/mlblux</t>
  </si>
  <si>
    <t>Atmospheric Environment: X</t>
  </si>
  <si>
    <t>2590-1621</t>
  </si>
  <si>
    <t>10.1016/aeaoa</t>
  </si>
  <si>
    <t>Food Chemistry: X</t>
  </si>
  <si>
    <t>2590-1575</t>
  </si>
  <si>
    <t>10.1016/fochx</t>
  </si>
  <si>
    <t>Vaccine: X</t>
  </si>
  <si>
    <t>2590-1362</t>
  </si>
  <si>
    <t>10.1016/jvacx</t>
  </si>
  <si>
    <t>Sleep Medicine: X</t>
  </si>
  <si>
    <t>2590-1427</t>
  </si>
  <si>
    <t>10.1016/sleepx</t>
  </si>
  <si>
    <t>Energy Conversion and Management: X</t>
  </si>
  <si>
    <t>2590-1745</t>
  </si>
  <si>
    <t>10.1016/ecmx</t>
  </si>
  <si>
    <t>Toxicon: X</t>
  </si>
  <si>
    <t>Health Sciences | Toxicology</t>
  </si>
  <si>
    <t>2590-1710</t>
  </si>
  <si>
    <t>10.1016/toxcx</t>
  </si>
  <si>
    <t>European Journal of Obstetrics &amp; Gynecology and Reproductive Biology: X</t>
  </si>
  <si>
    <t>2590-1613</t>
  </si>
  <si>
    <t>10.1016/eurox</t>
  </si>
  <si>
    <t>Intelligent Systems with Applications</t>
  </si>
  <si>
    <t>2667-3053</t>
  </si>
  <si>
    <t>10.1016/iswa</t>
  </si>
  <si>
    <t>Resources, Conservation &amp; Recycling Advances</t>
  </si>
  <si>
    <t>2667-3789</t>
  </si>
  <si>
    <t>10.1016/rcradv</t>
  </si>
  <si>
    <t>Fuel Communications</t>
  </si>
  <si>
    <t>2666-0520</t>
  </si>
  <si>
    <t>10.1016/jfueco</t>
  </si>
  <si>
    <t>Journal of Clinical and Translational Endocrinology: Case Reports</t>
  </si>
  <si>
    <t>2214-6245</t>
  </si>
  <si>
    <t>10.1016/jecr</t>
  </si>
  <si>
    <t>Bone Reports</t>
  </si>
  <si>
    <t>2352-1872</t>
  </si>
  <si>
    <t>10.1016/bonr</t>
  </si>
  <si>
    <t>Neurobiology of Stress</t>
  </si>
  <si>
    <t>2352-2895</t>
  </si>
  <si>
    <t>10.1016/ynstr</t>
  </si>
  <si>
    <t>JAAD Case Reports</t>
  </si>
  <si>
    <t>2352-5126</t>
  </si>
  <si>
    <t>10.1016/jdcr</t>
  </si>
  <si>
    <t>Data in Brief</t>
  </si>
  <si>
    <t>2352-3409</t>
  </si>
  <si>
    <t>10.1016/dib</t>
  </si>
  <si>
    <t>JPRAS Open</t>
  </si>
  <si>
    <t>2352-5878</t>
  </si>
  <si>
    <t>10.1016/jpra</t>
  </si>
  <si>
    <t>Arthroplasty Today</t>
  </si>
  <si>
    <t>2352-3441</t>
  </si>
  <si>
    <t>10.1016/artd</t>
  </si>
  <si>
    <t>Journal of Vascular Surgery Cases, Innovations and Techniques</t>
  </si>
  <si>
    <t>2468-4287</t>
  </si>
  <si>
    <t>10.1016/jvscit</t>
  </si>
  <si>
    <t>Cellular and Molecular Gastroenterology and Hepatology</t>
  </si>
  <si>
    <t>2352-345X</t>
  </si>
  <si>
    <t>10.1016/jcmgh</t>
  </si>
  <si>
    <t>OpenNano</t>
  </si>
  <si>
    <t>Health Sciences | Life Sciences | Medicine | Pharmaceutical Sciences</t>
  </si>
  <si>
    <t>2352-9520</t>
  </si>
  <si>
    <t>10.1016/onano</t>
  </si>
  <si>
    <t>Radiology Case Reports</t>
  </si>
  <si>
    <t>1930-0433</t>
  </si>
  <si>
    <t>10.1016/radcr</t>
  </si>
  <si>
    <t>Food and Waterborne Parasitology</t>
  </si>
  <si>
    <t>2405-6766</t>
  </si>
  <si>
    <t>10.1016/fawpar</t>
  </si>
  <si>
    <t>Contemporary Clinical Trials Communications</t>
  </si>
  <si>
    <t>2451-8654</t>
  </si>
  <si>
    <t>10.1016/conctc</t>
  </si>
  <si>
    <t>Transplantation Reports</t>
  </si>
  <si>
    <t>2451-9596</t>
  </si>
  <si>
    <t>10.1016/tpr</t>
  </si>
  <si>
    <t>American Journal of Ophthalmology Case Reports</t>
  </si>
  <si>
    <t>2451-9936</t>
  </si>
  <si>
    <t>10.1016/ajoc</t>
  </si>
  <si>
    <t>Neurobiology of Sleep and Circadian Rhythms</t>
  </si>
  <si>
    <t>2451-9944</t>
  </si>
  <si>
    <t>10.1016/nbscr</t>
  </si>
  <si>
    <t>Kidney International Reports</t>
  </si>
  <si>
    <t>2468-0249</t>
  </si>
  <si>
    <t>10.1016/ekir</t>
  </si>
  <si>
    <t>VideoGIE</t>
  </si>
  <si>
    <t>2468-4481</t>
  </si>
  <si>
    <t>10.1016/vgie</t>
  </si>
  <si>
    <t>Otolaryngology Case Reports</t>
  </si>
  <si>
    <t>2468-5488</t>
  </si>
  <si>
    <t>10.1016/xocr</t>
  </si>
  <si>
    <t>Molecular Therapy: Oncology</t>
  </si>
  <si>
    <t>2950-3299</t>
  </si>
  <si>
    <t>10.1016/omton</t>
  </si>
  <si>
    <t>Neurobiology of Pain</t>
  </si>
  <si>
    <t>2452-073X</t>
  </si>
  <si>
    <t>10.1016/ynpai</t>
  </si>
  <si>
    <t>Molecular Therapy: Nucleic Acids</t>
  </si>
  <si>
    <t>2162-2531</t>
  </si>
  <si>
    <t>10.1016/omtn</t>
  </si>
  <si>
    <t>Molecular Therapy: Methods &amp; Clinical Development</t>
  </si>
  <si>
    <t>2329-0501</t>
  </si>
  <si>
    <t>10.1016/omtm</t>
  </si>
  <si>
    <t>CASE</t>
  </si>
  <si>
    <t>2468-6441</t>
  </si>
  <si>
    <t>10.1016/case</t>
  </si>
  <si>
    <t>Mayo Clinic Proceedings: Innovations, Quality &amp; Outcomes</t>
  </si>
  <si>
    <t>2542-4548</t>
  </si>
  <si>
    <t>10.1016/mayocpiqo</t>
  </si>
  <si>
    <t>iScience</t>
  </si>
  <si>
    <t>Chemistry | Energy and Power | Life Sciences | Physical Sciences and Engineering | Physics</t>
  </si>
  <si>
    <t>2589-0042</t>
  </si>
  <si>
    <t>10.1016/isci</t>
  </si>
  <si>
    <t>Journal of Hand Surgery Global Online</t>
  </si>
  <si>
    <t>2589-5141</t>
  </si>
  <si>
    <t>10.1016/jhsg</t>
  </si>
  <si>
    <t>CJC Open</t>
  </si>
  <si>
    <t>2589-790X</t>
  </si>
  <si>
    <t>10.1016/cjco</t>
  </si>
  <si>
    <t>Surgery Open Science</t>
  </si>
  <si>
    <t>2589-8450</t>
  </si>
  <si>
    <t>10.1016/sopen</t>
  </si>
  <si>
    <t>Aging Brain</t>
  </si>
  <si>
    <t>2589-9589</t>
  </si>
  <si>
    <t>10.1016/nbas</t>
  </si>
  <si>
    <t>Metabolism Open</t>
  </si>
  <si>
    <t>2589-9368</t>
  </si>
  <si>
    <t>10.1016/metop</t>
  </si>
  <si>
    <t>The Journal of Pediatrics: Clinical Practice</t>
  </si>
  <si>
    <t>2950-5410</t>
  </si>
  <si>
    <t>10.1016/jpedcp</t>
  </si>
  <si>
    <t>Journal of Structural Biology: X</t>
  </si>
  <si>
    <t>2590-1524</t>
  </si>
  <si>
    <t>10.1016/yjsbx</t>
  </si>
  <si>
    <t>World Neurosurgery: X</t>
  </si>
  <si>
    <t>2590-1397</t>
  </si>
  <si>
    <t>10.1016/wnsx</t>
  </si>
  <si>
    <t>Array</t>
  </si>
  <si>
    <t>2590-0056</t>
  </si>
  <si>
    <t>10.1016/array</t>
  </si>
  <si>
    <t>Micro and Nano Engineering</t>
  </si>
  <si>
    <t>2590-0072</t>
  </si>
  <si>
    <t>10.1016/mne</t>
  </si>
  <si>
    <t>Materials Today Bio</t>
  </si>
  <si>
    <t>2590-0064</t>
  </si>
  <si>
    <t>10.1016/mtbio</t>
  </si>
  <si>
    <t>Kidney Medicine</t>
  </si>
  <si>
    <t>2590-0595</t>
  </si>
  <si>
    <t>10.1016/xkme</t>
  </si>
  <si>
    <t>Immuno-Oncology and Technology</t>
  </si>
  <si>
    <t>Health Sciences | Immunology | Life Sciences | Medicine | Social Sciences</t>
  </si>
  <si>
    <t>2590-0188</t>
  </si>
  <si>
    <t>10.1016/iotech</t>
  </si>
  <si>
    <t>Research in Globalization</t>
  </si>
  <si>
    <t>2590-051X</t>
  </si>
  <si>
    <t>10.1016/resglo</t>
  </si>
  <si>
    <t>Results in Applied Mathematics</t>
  </si>
  <si>
    <t>2590-0374</t>
  </si>
  <si>
    <t>10.1016/rinam</t>
  </si>
  <si>
    <t>Results in Materials</t>
  </si>
  <si>
    <t>2590-048X</t>
  </si>
  <si>
    <t>10.1016/rinma</t>
  </si>
  <si>
    <t>Materials Today Advances</t>
  </si>
  <si>
    <t>2590-0498</t>
  </si>
  <si>
    <t>10.1016/mtadv</t>
  </si>
  <si>
    <t>Biosafety and Health</t>
  </si>
  <si>
    <t>2590-0536</t>
  </si>
  <si>
    <t>10.1016/bsheal</t>
  </si>
  <si>
    <t>Infection Prevention in Practice</t>
  </si>
  <si>
    <t>2590-0889</t>
  </si>
  <si>
    <t>10.1016/infpip</t>
  </si>
  <si>
    <t>Progress in Disaster Science</t>
  </si>
  <si>
    <t>Earth and Planetary Sciences | Environmental Sciences | Physical Sciences and Engineering | Social Sciences | Social Sciences and Humanities</t>
  </si>
  <si>
    <t>2590-0617</t>
  </si>
  <si>
    <t>10.1016/pdisas</t>
  </si>
  <si>
    <t>Medicine in Omics</t>
  </si>
  <si>
    <t>2590-1249</t>
  </si>
  <si>
    <t>10.1016/meomic</t>
  </si>
  <si>
    <t>International Journal of Cardiology Cardiovascular Risk and Prevention</t>
  </si>
  <si>
    <t>2772-4875</t>
  </si>
  <si>
    <t>10.1016/ijcrp</t>
  </si>
  <si>
    <t>Journal of Translational Autoimmunity</t>
  </si>
  <si>
    <t>2589-9090</t>
  </si>
  <si>
    <t>10.1016/jtauto</t>
  </si>
  <si>
    <t>Urology Video Journal</t>
  </si>
  <si>
    <t>2590-0897</t>
  </si>
  <si>
    <t>10.1016/urolvj</t>
  </si>
  <si>
    <t>Results in Chemistry</t>
  </si>
  <si>
    <t>2211-7156</t>
  </si>
  <si>
    <t>10.1016/rechem</t>
  </si>
  <si>
    <t>Medicine in Novel Technology and Devices</t>
  </si>
  <si>
    <t>2590-0935</t>
  </si>
  <si>
    <t>10.1016/medntd</t>
  </si>
  <si>
    <t>Medicine in Drug Discovery</t>
  </si>
  <si>
    <t>Drug Discovery | Health Sciences | Medicine | Pharmacology</t>
  </si>
  <si>
    <t>2590-0986</t>
  </si>
  <si>
    <t>10.1016/medidd</t>
  </si>
  <si>
    <t>Medicine in Microecology</t>
  </si>
  <si>
    <t>2590-0978</t>
  </si>
  <si>
    <t>10.1016/medmic</t>
  </si>
  <si>
    <t>Global Epidemiology</t>
  </si>
  <si>
    <t>Environmental Sciences | Health Sciences | Medicine</t>
  </si>
  <si>
    <t>2590-1133</t>
  </si>
  <si>
    <t>10.1016/gloepi</t>
  </si>
  <si>
    <t>Results in Engineering</t>
  </si>
  <si>
    <t>2590-1230</t>
  </si>
  <si>
    <t>10.1016/rineng</t>
  </si>
  <si>
    <t>World Allergy Organization Journal</t>
  </si>
  <si>
    <t>1939-4551</t>
  </si>
  <si>
    <t>10.1016/waojou</t>
  </si>
  <si>
    <t>Clinical Infection in Practice</t>
  </si>
  <si>
    <t>2590-1702</t>
  </si>
  <si>
    <t>10.1016/clinpr</t>
  </si>
  <si>
    <t>Biofilm</t>
  </si>
  <si>
    <t>Life Sciences | Microbiology and Virology | Physical Sciences and Engineering | Social Sciences</t>
  </si>
  <si>
    <t>2590-2075</t>
  </si>
  <si>
    <t>10.1016/bioflm</t>
  </si>
  <si>
    <t>Transportation Research Interdisciplinary Perspectives</t>
  </si>
  <si>
    <t>2590-1982</t>
  </si>
  <si>
    <t>10.1016/trip</t>
  </si>
  <si>
    <t>Clinical Parkinsonism &amp; Related Disorders</t>
  </si>
  <si>
    <t>2590-1125</t>
  </si>
  <si>
    <t>10.1016/prdoa</t>
  </si>
  <si>
    <t>Applied Computing and Geosciences</t>
  </si>
  <si>
    <t>2590-1974</t>
  </si>
  <si>
    <t>10.1016/acags</t>
  </si>
  <si>
    <t>Current Research in Biotechnology</t>
  </si>
  <si>
    <t>2590-2628</t>
  </si>
  <si>
    <t>10.1016/crbiot</t>
  </si>
  <si>
    <t>City and Environment Interactions</t>
  </si>
  <si>
    <t>Earth and Planetary Sciences | Environmental Sciences | Life Sciences | Physical Sciences and Engineering | Social Sciences | Social Sciences and Humanities</t>
  </si>
  <si>
    <t>2590-2520</t>
  </si>
  <si>
    <t>10.1016/cacint</t>
  </si>
  <si>
    <t>Health Policy OPEN</t>
  </si>
  <si>
    <t>2590-2296</t>
  </si>
  <si>
    <t>10.1016/hpopen</t>
  </si>
  <si>
    <t>Methods in Psychology</t>
  </si>
  <si>
    <t>2590-2601</t>
  </si>
  <si>
    <t>10.1016/metip</t>
  </si>
  <si>
    <t>Social Sciences &amp; Humanities Open</t>
  </si>
  <si>
    <t>Business, Management and Accounting | Psychology | Social Sciences | Social Sciences and Humanities</t>
  </si>
  <si>
    <t>2590-2911</t>
  </si>
  <si>
    <t>10.1016/ssaho</t>
  </si>
  <si>
    <t>Measurement: Sensors</t>
  </si>
  <si>
    <t>2665-9174</t>
  </si>
  <si>
    <t>10.1016/measen</t>
  </si>
  <si>
    <t>Forensic Science International: Reports</t>
  </si>
  <si>
    <t>2665-9107</t>
  </si>
  <si>
    <t>10.1016/fsir</t>
  </si>
  <si>
    <t>Osteoarthritis and Cartilage Open</t>
  </si>
  <si>
    <t>2665-9131</t>
  </si>
  <si>
    <t>10.1016/ocarto</t>
  </si>
  <si>
    <t>Current Research in Pharmacology and Drug Discovery</t>
  </si>
  <si>
    <t>2590-2571</t>
  </si>
  <si>
    <t>10.1016/crphar</t>
  </si>
  <si>
    <t>Current Research in Food Science</t>
  </si>
  <si>
    <t>2665-9271</t>
  </si>
  <si>
    <t>10.1016/crfs</t>
  </si>
  <si>
    <t>Current Research in Structural Biology</t>
  </si>
  <si>
    <t>2665-928X</t>
  </si>
  <si>
    <t>10.1016/crstbi</t>
  </si>
  <si>
    <t>Current Research in Neurobiology</t>
  </si>
  <si>
    <t>2665-945X</t>
  </si>
  <si>
    <t>10.1016/crneur</t>
  </si>
  <si>
    <t>Current Research in Physiology</t>
  </si>
  <si>
    <t>2665-9441</t>
  </si>
  <si>
    <t>10.1016/crphys</t>
  </si>
  <si>
    <t>Plant Communications</t>
  </si>
  <si>
    <t>2590-3462</t>
  </si>
  <si>
    <t>10.1016/xplc</t>
  </si>
  <si>
    <t>Environmental and Sustainability Indicators</t>
  </si>
  <si>
    <t>Agricultural and Biological Sciences | Decision Sciences | Energy and Power | Environmental Sciences | Life Sciences | Social Sciences | Social Sciences and Humanities</t>
  </si>
  <si>
    <t>2665-9727</t>
  </si>
  <si>
    <t>10.1016/indic</t>
  </si>
  <si>
    <t>Software Impacts</t>
  </si>
  <si>
    <t>2665-9638</t>
  </si>
  <si>
    <t>10.1016/simpa</t>
  </si>
  <si>
    <t>Annals of Hepatology</t>
  </si>
  <si>
    <t>1665-2681</t>
  </si>
  <si>
    <t>10.1016/aohep</t>
  </si>
  <si>
    <t>Case Studies in Chemical and Environmental Engineering</t>
  </si>
  <si>
    <t>2666-0164</t>
  </si>
  <si>
    <t>10.1016/cscee</t>
  </si>
  <si>
    <t>Science of Remote Sensing</t>
  </si>
  <si>
    <t>2666-0172</t>
  </si>
  <si>
    <t>10.1016/srs</t>
  </si>
  <si>
    <t>Current Research in Toxicology</t>
  </si>
  <si>
    <t>2666-027X</t>
  </si>
  <si>
    <t>10.1016/crtox</t>
  </si>
  <si>
    <t>Quaternary Science Advances</t>
  </si>
  <si>
    <t>2666-0334</t>
  </si>
  <si>
    <t>10.1016/qsa</t>
  </si>
  <si>
    <t>Physics Open</t>
  </si>
  <si>
    <t>2666-0326</t>
  </si>
  <si>
    <t>10.1016/physo</t>
  </si>
  <si>
    <t>Open Respiratory Archives</t>
  </si>
  <si>
    <t>2659-6636</t>
  </si>
  <si>
    <t>10.1016/opresp</t>
  </si>
  <si>
    <t>Current Research in Environmental Sustainability</t>
  </si>
  <si>
    <t>2666-0490</t>
  </si>
  <si>
    <t>10.1016/crsust</t>
  </si>
  <si>
    <t>Sensors and Actuators Reports</t>
  </si>
  <si>
    <t>2666-0539</t>
  </si>
  <si>
    <t>10.1016/snr</t>
  </si>
  <si>
    <t>Arthroscopy, Sports Medicine, and Rehabilitation</t>
  </si>
  <si>
    <t>2666-061X</t>
  </si>
  <si>
    <t>10.1016/asmr</t>
  </si>
  <si>
    <t>STAR Protocols</t>
  </si>
  <si>
    <t>2666-1667</t>
  </si>
  <si>
    <t>10.1016/xpro</t>
  </si>
  <si>
    <t>Current Research in Green and Sustainable Chemistry</t>
  </si>
  <si>
    <t>Chemical Engineering | Chemistry | Environmental Sciences | Life Sciences | Physical Sciences and Engineering | Physics</t>
  </si>
  <si>
    <t>2666-0865</t>
  </si>
  <si>
    <t>10.1016/crgsc</t>
  </si>
  <si>
    <t>Journal of Agriculture and Food Research</t>
  </si>
  <si>
    <t>2666-1543</t>
  </si>
  <si>
    <t>10.1016/jafr</t>
  </si>
  <si>
    <t>International Journal of Nursing Studies Advances</t>
  </si>
  <si>
    <t>2666-142X</t>
  </si>
  <si>
    <t>10.1016/ijnsa</t>
  </si>
  <si>
    <t>Biomarkers in Neuropsychiatry</t>
  </si>
  <si>
    <t>2666-1446</t>
  </si>
  <si>
    <t>10.1016/bionps</t>
  </si>
  <si>
    <t>Sustainable Futures</t>
  </si>
  <si>
    <t>Decision Sciences | Social Sciences and Humanities</t>
  </si>
  <si>
    <t>2666-1888</t>
  </si>
  <si>
    <t>10.1016/sftr</t>
  </si>
  <si>
    <t>Developments in the Built Environment</t>
  </si>
  <si>
    <t>Built Environment | Engineering and Technology | Physical Sciences and Engineering</t>
  </si>
  <si>
    <t>2666-1659</t>
  </si>
  <si>
    <t>10.1016/dibe</t>
  </si>
  <si>
    <t>International Journal of Thermofluids</t>
  </si>
  <si>
    <t>2666-2027</t>
  </si>
  <si>
    <t>10.1016/ijtf</t>
  </si>
  <si>
    <t>Systems and Soft Computing</t>
  </si>
  <si>
    <t>2772-9419</t>
  </si>
  <si>
    <t>10.1016/sasc</t>
  </si>
  <si>
    <t>Journal of Power Sources Advances</t>
  </si>
  <si>
    <t>Chemistry | Energy and Power | Engineering and Technology | Physical Sciences and Engineering</t>
  </si>
  <si>
    <t>2666-2485</t>
  </si>
  <si>
    <t>10.1016/powera</t>
  </si>
  <si>
    <t>Cerebral Circulation - Cognition and Behavior</t>
  </si>
  <si>
    <t>2666-2450</t>
  </si>
  <si>
    <t>10.1016/cccb</t>
  </si>
  <si>
    <t>Brain, Behavior, &amp; Immunity - Health</t>
  </si>
  <si>
    <t>2666-3546</t>
  </si>
  <si>
    <t>10.1016/bbih</t>
  </si>
  <si>
    <t>JTCVS Open</t>
  </si>
  <si>
    <t>2666-2736</t>
  </si>
  <si>
    <t>10.1016/xjon</t>
  </si>
  <si>
    <t>JTCVS Techniques</t>
  </si>
  <si>
    <t>2666-2507</t>
  </si>
  <si>
    <t>10.1016/xjtc</t>
  </si>
  <si>
    <t>Human Genetics and Genomics Advances</t>
  </si>
  <si>
    <t>2666-2477</t>
  </si>
  <si>
    <t>10.1016/xhgg</t>
  </si>
  <si>
    <t>Surgery in Practice and Science</t>
  </si>
  <si>
    <t>2666-2620</t>
  </si>
  <si>
    <t>10.1016/sipas</t>
  </si>
  <si>
    <t>Poultry Science</t>
  </si>
  <si>
    <t>0032-5791</t>
  </si>
  <si>
    <t>10.1016/psj</t>
  </si>
  <si>
    <t>Journal of Applied Poultry Research</t>
  </si>
  <si>
    <t>1056-6171</t>
  </si>
  <si>
    <t>10.1016/japr</t>
  </si>
  <si>
    <t>Computers in Human Behavior Reports</t>
  </si>
  <si>
    <t>2451-9588</t>
  </si>
  <si>
    <t>10.1016/chbr</t>
  </si>
  <si>
    <t>Journal of Advanced Joining Processes</t>
  </si>
  <si>
    <t>Engineering and Technology | Physical Sciences and Engineering | Social Sciences</t>
  </si>
  <si>
    <t>2666-3309</t>
  </si>
  <si>
    <t>10.1016/jajp</t>
  </si>
  <si>
    <t>International Journal of Educational Research Open</t>
  </si>
  <si>
    <t>2666-3740</t>
  </si>
  <si>
    <t>10.1016/ijedro</t>
  </si>
  <si>
    <t>JAAD International</t>
  </si>
  <si>
    <t>2666-3287</t>
  </si>
  <si>
    <t>10.1016/jdin</t>
  </si>
  <si>
    <t>JVS-Vascular Science</t>
  </si>
  <si>
    <t>2666-3503</t>
  </si>
  <si>
    <t>10.1016/jvssci</t>
  </si>
  <si>
    <t>Applications in Energy and Combustion Science</t>
  </si>
  <si>
    <t>Chemical Engineering | Energy and Power | Engineering and Technology | Physical Sciences and Engineering</t>
  </si>
  <si>
    <t>2666-352X</t>
  </si>
  <si>
    <t>10.1016/jaecs</t>
  </si>
  <si>
    <t>Digital Geography and Society</t>
  </si>
  <si>
    <t>2666-3783</t>
  </si>
  <si>
    <t>10.1016/diggeo</t>
  </si>
  <si>
    <t>Patterns</t>
  </si>
  <si>
    <t>2666-3899</t>
  </si>
  <si>
    <t>10.1016/patter</t>
  </si>
  <si>
    <t>Forces in Mechanics</t>
  </si>
  <si>
    <t>2666-3597</t>
  </si>
  <si>
    <t>10.1016/finmec</t>
  </si>
  <si>
    <t>Cell Reports Medicine</t>
  </si>
  <si>
    <t>2666-3791</t>
  </si>
  <si>
    <t>10.1016/xcrm</t>
  </si>
  <si>
    <t>Cell Reports Physical Science</t>
  </si>
  <si>
    <t>Astronomy, Astrophysics, Space Science | Chemical Engineering | Chemistry | Energy and Power | Engineering and Technology | Life Sciences | Materials Science | Physical Sciences and Engineering | Physics</t>
  </si>
  <si>
    <t>2666-3864</t>
  </si>
  <si>
    <t>10.1016/xcrp</t>
  </si>
  <si>
    <t>Endocrine and Metabolic Science</t>
  </si>
  <si>
    <t>2666-3961</t>
  </si>
  <si>
    <t>10.1016/endmts</t>
  </si>
  <si>
    <t>Journal of Magnetic Resonance Open</t>
  </si>
  <si>
    <t>2666-4410</t>
  </si>
  <si>
    <t>10.1016/jmro</t>
  </si>
  <si>
    <t>JTO Clinical and Research Reports</t>
  </si>
  <si>
    <t>2666-3643</t>
  </si>
  <si>
    <t>10.1016/jtocrr</t>
  </si>
  <si>
    <t>Applications in Engineering Science</t>
  </si>
  <si>
    <t>2666-4968</t>
  </si>
  <si>
    <t>10.1016/apples</t>
  </si>
  <si>
    <t>Journal of Photochemistry and Photobiology</t>
  </si>
  <si>
    <t>2666-4690</t>
  </si>
  <si>
    <t>10.1016/jpap</t>
  </si>
  <si>
    <t>Heart Rhythm O2</t>
  </si>
  <si>
    <t>2666-5018</t>
  </si>
  <si>
    <t>10.1016/hroo</t>
  </si>
  <si>
    <t>Brain Disorders</t>
  </si>
  <si>
    <t>2666-4593</t>
  </si>
  <si>
    <t>10.1016/dscb</t>
  </si>
  <si>
    <t>EURO Journal on Transportation and Logistics</t>
  </si>
  <si>
    <t>2192-4376</t>
  </si>
  <si>
    <t>10.1016/ejtl</t>
  </si>
  <si>
    <t>The Lancet Microbe</t>
  </si>
  <si>
    <t>2666-5247</t>
  </si>
  <si>
    <t>10.1016/lanmic</t>
  </si>
  <si>
    <t>Environmental Science and Ecotechnology</t>
  </si>
  <si>
    <t>Computer Science | Environmental Sciences | Life Sciences | Physical Sciences and Engineering</t>
  </si>
  <si>
    <t>2666-4984</t>
  </si>
  <si>
    <t>10.1016/ese</t>
  </si>
  <si>
    <t>Comprehensive Psychoneuroendocrinology</t>
  </si>
  <si>
    <t>2666-4976</t>
  </si>
  <si>
    <t>10.1016/cpnec</t>
  </si>
  <si>
    <t>Intelligence-Based Medicine</t>
  </si>
  <si>
    <t>2666-5212</t>
  </si>
  <si>
    <t>10.1016/ibmed</t>
  </si>
  <si>
    <t>Cement</t>
  </si>
  <si>
    <t>Built Environment | Materials Science | Physical Sciences and Engineering</t>
  </si>
  <si>
    <t>2666-5492</t>
  </si>
  <si>
    <t>10.1016/cement</t>
  </si>
  <si>
    <t>Open Ceramics</t>
  </si>
  <si>
    <t>2666-5395</t>
  </si>
  <si>
    <t>10.1016/oceram</t>
  </si>
  <si>
    <t>Applied Surface Science Advances</t>
  </si>
  <si>
    <t>2666-5239</t>
  </si>
  <si>
    <t>10.1016/apsadv</t>
  </si>
  <si>
    <t>Current Research in Microbial Sciences</t>
  </si>
  <si>
    <t>2666-5174</t>
  </si>
  <si>
    <t>10.1016/crmicr</t>
  </si>
  <si>
    <t>Current Research in Behavioral Sciences</t>
  </si>
  <si>
    <t>Life Sciences | Medicine | Neuroscience | Psychology</t>
  </si>
  <si>
    <t>2666-5182</t>
  </si>
  <si>
    <t>10.1016/crbeha</t>
  </si>
  <si>
    <t>Current Research in Insect Science</t>
  </si>
  <si>
    <t>2666-5158</t>
  </si>
  <si>
    <t>10.1016/cris</t>
  </si>
  <si>
    <t>Public Health in Practice</t>
  </si>
  <si>
    <t>2666-5352</t>
  </si>
  <si>
    <t>10.1016/puhip</t>
  </si>
  <si>
    <t>Resuscitation Plus</t>
  </si>
  <si>
    <t>2666-5204</t>
  </si>
  <si>
    <t>10.1016/resplu</t>
  </si>
  <si>
    <t>Thrombosis Update</t>
  </si>
  <si>
    <t>2666-5727</t>
  </si>
  <si>
    <t>10.1016/tru</t>
  </si>
  <si>
    <t>North American Spine Society Journal (NASSJ)</t>
  </si>
  <si>
    <t>2666-5484</t>
  </si>
  <si>
    <t>10.1016/xnsj</t>
  </si>
  <si>
    <t>American Heart Journal Plus: Cardiology Research and Practice</t>
  </si>
  <si>
    <t>2666-6022</t>
  </si>
  <si>
    <t>10.1016/ahjo</t>
  </si>
  <si>
    <t>Giant</t>
  </si>
  <si>
    <t>2666-5425</t>
  </si>
  <si>
    <t>10.1016/giant</t>
  </si>
  <si>
    <t>Biomaterials and Biosystems</t>
  </si>
  <si>
    <t>2666-5344</t>
  </si>
  <si>
    <t>10.1016/bbiosy</t>
  </si>
  <si>
    <t>Energy and AI</t>
  </si>
  <si>
    <t>2666-5468</t>
  </si>
  <si>
    <t>10.1016/egyai</t>
  </si>
  <si>
    <t>Computers and Education Open</t>
  </si>
  <si>
    <t>2666-5573</t>
  </si>
  <si>
    <t>10.1016/caeo</t>
  </si>
  <si>
    <t>The Lancet Regional Health - Western Pacific</t>
  </si>
  <si>
    <t>2666-6065</t>
  </si>
  <si>
    <t>10.1016/lanwpc</t>
  </si>
  <si>
    <t>F&amp;S Reports</t>
  </si>
  <si>
    <t>2666-3341</t>
  </si>
  <si>
    <t>10.1016/xfre</t>
  </si>
  <si>
    <t>AJOG Global Reports</t>
  </si>
  <si>
    <t>2666-5778</t>
  </si>
  <si>
    <t>10.1016/xagr</t>
  </si>
  <si>
    <t>Radiation Medicine and Protection</t>
  </si>
  <si>
    <t>Environmental Sciences | Health Sciences | Medicine | Physical Sciences and Engineering | Physics | Toxicology</t>
  </si>
  <si>
    <t>2666-5557</t>
  </si>
  <si>
    <t>10.1016/radmp</t>
  </si>
  <si>
    <t>Wellbeing, Space and Society</t>
  </si>
  <si>
    <t>2666-5581</t>
  </si>
  <si>
    <t>10.1016/wss</t>
  </si>
  <si>
    <t>SSM - Mental Health</t>
  </si>
  <si>
    <t>2666-5603</t>
  </si>
  <si>
    <t>10.1016/ssmmh</t>
  </si>
  <si>
    <t>Food Chemistry: Molecular Sciences</t>
  </si>
  <si>
    <t>2666-5662</t>
  </si>
  <si>
    <t>10.1016/fochms</t>
  </si>
  <si>
    <t>Current Problems in Cancer: Case Reports</t>
  </si>
  <si>
    <t>2666-6219</t>
  </si>
  <si>
    <t>10.1016/cpccr</t>
  </si>
  <si>
    <t>Current Research in Ecological and Social Psychology</t>
  </si>
  <si>
    <t>2666-6227</t>
  </si>
  <si>
    <t>10.1016/cresp</t>
  </si>
  <si>
    <t>Journal of Migration and Health</t>
  </si>
  <si>
    <t>2666-6235</t>
  </si>
  <si>
    <t>10.1016/jmh</t>
  </si>
  <si>
    <t>JSES Reviews, Reports, and Techniques</t>
  </si>
  <si>
    <t>2666-6391</t>
  </si>
  <si>
    <t>10.1016/xrrt</t>
  </si>
  <si>
    <t>Journal of Responsible Technology</t>
  </si>
  <si>
    <t>2666-6596</t>
  </si>
  <si>
    <t>10.1016/jrt</t>
  </si>
  <si>
    <t>Geography and Sustainability</t>
  </si>
  <si>
    <t>2666-6839</t>
  </si>
  <si>
    <t>10.1016/geosus</t>
  </si>
  <si>
    <t>Examples and Counterexamples</t>
  </si>
  <si>
    <t>2666-657X</t>
  </si>
  <si>
    <t>10.1016/exco</t>
  </si>
  <si>
    <t>International Journal of Cardiology Congenital Heart Disease</t>
  </si>
  <si>
    <t>2666-6685</t>
  </si>
  <si>
    <t>10.1016/ijcchd</t>
  </si>
  <si>
    <t>American Journal of Preventive Cardiology</t>
  </si>
  <si>
    <t>2666-6677</t>
  </si>
  <si>
    <t>10.1016/ajpc</t>
  </si>
  <si>
    <t>Composites Part C: Open Access</t>
  </si>
  <si>
    <t>2666-6820</t>
  </si>
  <si>
    <t>10.1016/jcomc</t>
  </si>
  <si>
    <t>Transportation Engineering</t>
  </si>
  <si>
    <t>2666-691X</t>
  </si>
  <si>
    <t>10.1016/treng</t>
  </si>
  <si>
    <t>The Innovation</t>
  </si>
  <si>
    <t>Chemistry | Health Sciences | Life Sciences | Materials Science | Physical Sciences and Engineering | Physics | Social Sciences</t>
  </si>
  <si>
    <t>2666-6758</t>
  </si>
  <si>
    <t>10.1016/xinn</t>
  </si>
  <si>
    <t>Asian Transport Studies</t>
  </si>
  <si>
    <t>2185-5560</t>
  </si>
  <si>
    <t>10.1016/eastsj</t>
  </si>
  <si>
    <t>Results in Control and Optimization</t>
  </si>
  <si>
    <t>2666-7207</t>
  </si>
  <si>
    <t>10.1016/rico</t>
  </si>
  <si>
    <t>Project Leadership and Society</t>
  </si>
  <si>
    <t>2666-7215</t>
  </si>
  <si>
    <t>10.1016/plas</t>
  </si>
  <si>
    <t>Trees, Forests and People</t>
  </si>
  <si>
    <t>2666-7193</t>
  </si>
  <si>
    <t>10.1016/tfp</t>
  </si>
  <si>
    <t>The Lancet Healthy Longevity</t>
  </si>
  <si>
    <t>2666-7568</t>
  </si>
  <si>
    <t>10.1016/lanhl</t>
  </si>
  <si>
    <t>Environmental Advances</t>
  </si>
  <si>
    <t>2666-7657</t>
  </si>
  <si>
    <t>10.1016/envadv</t>
  </si>
  <si>
    <t>The Lancet Regional Health - Europe</t>
  </si>
  <si>
    <t>2666-7762</t>
  </si>
  <si>
    <t>10.1016/lanepe</t>
  </si>
  <si>
    <t>Partial Differential Equations in Applied Mathematics</t>
  </si>
  <si>
    <t>2666-8181</t>
  </si>
  <si>
    <t>10.1016/padiff</t>
  </si>
  <si>
    <t>Cleaner Environmental Systems</t>
  </si>
  <si>
    <t>2666-7894</t>
  </si>
  <si>
    <t>10.1016/cesys</t>
  </si>
  <si>
    <t>Cleaner and Responsible Consumption</t>
  </si>
  <si>
    <t>2666-7843</t>
  </si>
  <si>
    <t>10.1016/clrc</t>
  </si>
  <si>
    <t>Cleaner Engineering and Technology</t>
  </si>
  <si>
    <t>2666-7908</t>
  </si>
  <si>
    <t>10.1016/clet</t>
  </si>
  <si>
    <t>Cleaner Production Letters</t>
  </si>
  <si>
    <t>2666-7916</t>
  </si>
  <si>
    <t>10.1016/clpl</t>
  </si>
  <si>
    <t>Advances in Applied Energy</t>
  </si>
  <si>
    <t>Economics and Finance | Life Sciences | Physical Sciences and Engineering</t>
  </si>
  <si>
    <t>2666-7924</t>
  </si>
  <si>
    <t>10.1016/adapen</t>
  </si>
  <si>
    <t>AACE Endocrinology and Diabetes</t>
  </si>
  <si>
    <t>3050-9157</t>
  </si>
  <si>
    <t>10.1016/aed</t>
  </si>
  <si>
    <t>Machine Learning with Applications</t>
  </si>
  <si>
    <t>Computer Science | Decision Sciences | Physical Sciences and Engineering | Social Sciences and Humanities</t>
  </si>
  <si>
    <t>2666-8270</t>
  </si>
  <si>
    <t>10.1016/mlwa</t>
  </si>
  <si>
    <t>Future Foods</t>
  </si>
  <si>
    <t>2666-8335</t>
  </si>
  <si>
    <t>10.1016/fufo</t>
  </si>
  <si>
    <t>Chemical Engineering Journal Advances</t>
  </si>
  <si>
    <t>Chemical Engineering | Chemistry | Engineering and Technology | Environmental Sciences | Life Sciences | Physical Sciences and Engineering</t>
  </si>
  <si>
    <t>2666-8211</t>
  </si>
  <si>
    <t>10.1016/ceja</t>
  </si>
  <si>
    <t>Maritime Transport Research</t>
  </si>
  <si>
    <t>2666-822X</t>
  </si>
  <si>
    <t>10.1016/martra</t>
  </si>
  <si>
    <t>Talanta Open</t>
  </si>
  <si>
    <t>2666-8319</t>
  </si>
  <si>
    <t>10.1016/talo</t>
  </si>
  <si>
    <t>Results in Surfaces and Interfaces</t>
  </si>
  <si>
    <t>2666-8459</t>
  </si>
  <si>
    <t>10.1016/rsurfi</t>
  </si>
  <si>
    <t>Carbohydrate Polymer Technologies and Applications</t>
  </si>
  <si>
    <t>2666-8939</t>
  </si>
  <si>
    <t>10.1016/carpta</t>
  </si>
  <si>
    <t>Climate Change Ecology</t>
  </si>
  <si>
    <t>2666-9005</t>
  </si>
  <si>
    <t>10.1016/ecochg</t>
  </si>
  <si>
    <t>JCIS Open</t>
  </si>
  <si>
    <t>2666-934X</t>
  </si>
  <si>
    <t>10.1016/jciso</t>
  </si>
  <si>
    <t>Ophthalmology Science</t>
  </si>
  <si>
    <t>2666-9145</t>
  </si>
  <si>
    <t>10.1016/xops</t>
  </si>
  <si>
    <t>ESMO Open</t>
  </si>
  <si>
    <t>2059-7029</t>
  </si>
  <si>
    <t>10.1016/esmoop</t>
  </si>
  <si>
    <t>Resources, Environment and Sustainability</t>
  </si>
  <si>
    <t>2666-9161</t>
  </si>
  <si>
    <t>10.1016/resenv</t>
  </si>
  <si>
    <t>Journal of Hazardous Materials Letters</t>
  </si>
  <si>
    <t>Chemical Engineering | Environmental Sciences | Life Sciences</t>
  </si>
  <si>
    <t>2666-9110</t>
  </si>
  <si>
    <t>10.1016/hazl</t>
  </si>
  <si>
    <t>Advances in Industrial and Manufacturing Engineering</t>
  </si>
  <si>
    <t>2666-9129</t>
  </si>
  <si>
    <t>10.1016/aime</t>
  </si>
  <si>
    <t>Journal of Affective Disorders Reports</t>
  </si>
  <si>
    <t>2666-9153</t>
  </si>
  <si>
    <t>10.1016/jadr</t>
  </si>
  <si>
    <t>Computers and Education: Artificial Intelligence</t>
  </si>
  <si>
    <t>2666-920X</t>
  </si>
  <si>
    <t>10.1016/caeai</t>
  </si>
  <si>
    <t>Digital Business</t>
  </si>
  <si>
    <t>2666-9544</t>
  </si>
  <si>
    <t>10.1016/digbus</t>
  </si>
  <si>
    <t>Journal of Virus Eradication</t>
  </si>
  <si>
    <t>2055-6640</t>
  </si>
  <si>
    <t>10.1016/jve</t>
  </si>
  <si>
    <t>Tetrahedron Chem</t>
  </si>
  <si>
    <t>2666-951X</t>
  </si>
  <si>
    <t>10.1016/tchem</t>
  </si>
  <si>
    <t>Results in Optics</t>
  </si>
  <si>
    <t>2666-9501</t>
  </si>
  <si>
    <t>10.1016/rio</t>
  </si>
  <si>
    <t>NeuroImage: Reports</t>
  </si>
  <si>
    <t>2666-9560</t>
  </si>
  <si>
    <t>10.1016/ynirp</t>
  </si>
  <si>
    <t>Smart Energy</t>
  </si>
  <si>
    <t>Built Environment | Chemical Engineering | Energy and Power | Engineering and Technology | Environmental Sciences | Life Sciences | Physical Sciences and Engineering</t>
  </si>
  <si>
    <t>2666-9552</t>
  </si>
  <si>
    <t>10.1016/segy</t>
  </si>
  <si>
    <t>Global Pediatrics</t>
  </si>
  <si>
    <t>2667-0097</t>
  </si>
  <si>
    <t>10.1016/gpeds</t>
  </si>
  <si>
    <t>Annals of Tourism Research Empirical Insights</t>
  </si>
  <si>
    <t>2666-9579</t>
  </si>
  <si>
    <t>10.1016/annale</t>
  </si>
  <si>
    <t>Annals of 3D Printed Medicine</t>
  </si>
  <si>
    <t>2666-9641</t>
  </si>
  <si>
    <t>10.1016/stlm</t>
  </si>
  <si>
    <t>Diabetes Epidemiology and Management</t>
  </si>
  <si>
    <t>2666-9706</t>
  </si>
  <si>
    <t>10.1016/deman</t>
  </si>
  <si>
    <t>Journal of Liver Transplantation</t>
  </si>
  <si>
    <t>2666-9676</t>
  </si>
  <si>
    <t>10.1016/liver</t>
  </si>
  <si>
    <t>animal</t>
  </si>
  <si>
    <t>1751-7311</t>
  </si>
  <si>
    <t>10.1016/animal</t>
  </si>
  <si>
    <t>Nano Trends</t>
  </si>
  <si>
    <t>2666-9781</t>
  </si>
  <si>
    <t>10.1016/nantre</t>
  </si>
  <si>
    <t>Cell Genomics</t>
  </si>
  <si>
    <t>Health Sciences | Life Sciences | Physical Sciences and Engineering | Social Sciences and Humanities</t>
  </si>
  <si>
    <t>2666-979X</t>
  </si>
  <si>
    <t>10.1016/xgen</t>
  </si>
  <si>
    <t>Computer Methods and Programs in Biomedicine Update</t>
  </si>
  <si>
    <t>2666-9900</t>
  </si>
  <si>
    <t>10.1016/cmpbup</t>
  </si>
  <si>
    <t>EURO Journal on Computational Optimization</t>
  </si>
  <si>
    <t>2192-4406</t>
  </si>
  <si>
    <t>10.1016/ejco</t>
  </si>
  <si>
    <t>EURO Journal on Decision Processes</t>
  </si>
  <si>
    <t>2193-9438</t>
  </si>
  <si>
    <t>10.1016/ejdp</t>
  </si>
  <si>
    <t>Surgery Open Digestive Advance</t>
  </si>
  <si>
    <t>2667-0089</t>
  </si>
  <si>
    <t>10.1016/soda</t>
  </si>
  <si>
    <t>Environmental Challenges</t>
  </si>
  <si>
    <t>2667-0100</t>
  </si>
  <si>
    <t>10.1016/envc</t>
  </si>
  <si>
    <t>Journal of the National Cancer Center</t>
  </si>
  <si>
    <t>2667-0054</t>
  </si>
  <si>
    <t>10.1016/jncc</t>
  </si>
  <si>
    <t>Comparative Immunology Reports</t>
  </si>
  <si>
    <t>2950-3116</t>
  </si>
  <si>
    <t>10.1016/cirep</t>
  </si>
  <si>
    <t>Soil Security</t>
  </si>
  <si>
    <t>2667-0062</t>
  </si>
  <si>
    <t>10.1016/soisec</t>
  </si>
  <si>
    <t>Chemical Physics Impact</t>
  </si>
  <si>
    <t>2667-0224</t>
  </si>
  <si>
    <t>10.1016/chphi</t>
  </si>
  <si>
    <t>Journal of Clinical Virology Plus</t>
  </si>
  <si>
    <t>Health Sciences | Microbiology and Virology</t>
  </si>
  <si>
    <t>2667-0380</t>
  </si>
  <si>
    <t>10.1016/jcvp</t>
  </si>
  <si>
    <t>JID Innovations</t>
  </si>
  <si>
    <t>2667-0267</t>
  </si>
  <si>
    <t>10.1016/xjidi</t>
  </si>
  <si>
    <t>Food Hydrocolloids for Health</t>
  </si>
  <si>
    <t>2667-0259</t>
  </si>
  <si>
    <t>10.1016/fhfh</t>
  </si>
  <si>
    <t>Phytomedicine Plus</t>
  </si>
  <si>
    <t>2667-0313</t>
  </si>
  <si>
    <t>10.1016/phyplu</t>
  </si>
  <si>
    <t>Aging and Health Research</t>
  </si>
  <si>
    <t>2667-0321</t>
  </si>
  <si>
    <t>10.1016/ahr</t>
  </si>
  <si>
    <t>American Journal of Medicine Open</t>
  </si>
  <si>
    <t>2667-0364</t>
  </si>
  <si>
    <t>10.1016/ajmo</t>
  </si>
  <si>
    <t>EFB Bioeconomy Journal</t>
  </si>
  <si>
    <t>2667-0410</t>
  </si>
  <si>
    <t>10.1016/bioeco</t>
  </si>
  <si>
    <t>Carbon Trends</t>
  </si>
  <si>
    <t>2667-0569</t>
  </si>
  <si>
    <t>10.1016/cartre</t>
  </si>
  <si>
    <t>Biophysical Reports</t>
  </si>
  <si>
    <t>2667-0747</t>
  </si>
  <si>
    <t>10.1016/bpr</t>
  </si>
  <si>
    <t>Plant Stress</t>
  </si>
  <si>
    <t>2667-064X</t>
  </si>
  <si>
    <t>10.1016/stress</t>
  </si>
  <si>
    <t>Biomedical Engineering Advances</t>
  </si>
  <si>
    <t>Engineering and Technology | Life Sciences | Physical Sciences and Engineering | Social Sciences</t>
  </si>
  <si>
    <t>2667-0992</t>
  </si>
  <si>
    <t>10.1016/bea</t>
  </si>
  <si>
    <t>International Journal of Information Management Data Insights</t>
  </si>
  <si>
    <t>Computer Science | Decision Sciences | Physical Sciences and Engineering | Social Sciences | Social Sciences and Humanities</t>
  </si>
  <si>
    <t>2667-0968</t>
  </si>
  <si>
    <t>10.1016/jjimei</t>
  </si>
  <si>
    <t>Journal of Urban Mobility</t>
  </si>
  <si>
    <t>2667-0917</t>
  </si>
  <si>
    <t>10.1016/urbmob</t>
  </si>
  <si>
    <t>Intelligent Medicine</t>
  </si>
  <si>
    <t>Health Professions | Health Sciences | Medicine | Physical Sciences and Engineering | Social Sciences</t>
  </si>
  <si>
    <t>2667-1026</t>
  </si>
  <si>
    <t>10.1016/imed</t>
  </si>
  <si>
    <t>Renewable and Sustainable Energy Transition</t>
  </si>
  <si>
    <t>2667-095X</t>
  </si>
  <si>
    <t>10.1016/rset</t>
  </si>
  <si>
    <t>BBA Advances</t>
  </si>
  <si>
    <t>2667-1603</t>
  </si>
  <si>
    <t>10.1016/bbadva</t>
  </si>
  <si>
    <t>Solar Energy Advances</t>
  </si>
  <si>
    <t>2667-1131</t>
  </si>
  <si>
    <t>10.1016/seja</t>
  </si>
  <si>
    <t>ImmunoInformatics</t>
  </si>
  <si>
    <t>2667-1190</t>
  </si>
  <si>
    <t>10.1016/immuno</t>
  </si>
  <si>
    <t>Asia and the Global Economy</t>
  </si>
  <si>
    <t>2667-1115</t>
  </si>
  <si>
    <t>10.1016/aglobe</t>
  </si>
  <si>
    <t>Current Research in Parasitology and Vector-Borne Diseases</t>
  </si>
  <si>
    <t>2667-114X</t>
  </si>
  <si>
    <t>10.1016/crpvbd</t>
  </si>
  <si>
    <t>International Dental Journal</t>
  </si>
  <si>
    <t>0020-6539</t>
  </si>
  <si>
    <t>10.1016/identj</t>
  </si>
  <si>
    <t>Emerging Trends in Drugs, Addictions, and Health</t>
  </si>
  <si>
    <t>2667-1182</t>
  </si>
  <si>
    <t>10.1016/etdah</t>
  </si>
  <si>
    <t>Advances in Oral and Maxillofacial Surgery</t>
  </si>
  <si>
    <t>2667-1476</t>
  </si>
  <si>
    <t>10.1016/adoms</t>
  </si>
  <si>
    <t>Advances in Redox Research</t>
  </si>
  <si>
    <t>2667-1379</t>
  </si>
  <si>
    <t>10.1016/arres</t>
  </si>
  <si>
    <t>Pharmacological Research - Modern Chinese Medicine</t>
  </si>
  <si>
    <t>2667-1425</t>
  </si>
  <si>
    <t>10.1016/prmcm</t>
  </si>
  <si>
    <t>Journal of Cartilage &amp; Joint Preservation</t>
  </si>
  <si>
    <t>2667-2545</t>
  </si>
  <si>
    <t>10.1016/jcjp</t>
  </si>
  <si>
    <t>Biological Psychiatry Global Open Science</t>
  </si>
  <si>
    <t>2667-1743</t>
  </si>
  <si>
    <t>10.1016/bpsgos</t>
  </si>
  <si>
    <t>Cell Reports Methods</t>
  </si>
  <si>
    <t>Chemistry | Immunology | Life Sciences | Medicine | Physical Sciences and Engineering</t>
  </si>
  <si>
    <t>2667-2375</t>
  </si>
  <si>
    <t>10.1016/crmeth</t>
  </si>
  <si>
    <t>The Lancet Regional Health - Americas</t>
  </si>
  <si>
    <t>2667-193X</t>
  </si>
  <si>
    <t>10.1016/lana</t>
  </si>
  <si>
    <t>IPEM-Translation</t>
  </si>
  <si>
    <t>2667-2588</t>
  </si>
  <si>
    <t>10.1016/ipemt</t>
  </si>
  <si>
    <t>Artificial Intelligence in the Life Sciences</t>
  </si>
  <si>
    <t>Computer Science | Decision Sciences | Drug Discovery | Health Sciences | Life Sciences | Medicine | Pharmacology | Physical Sciences and Engineering</t>
  </si>
  <si>
    <t>2667-3185</t>
  </si>
  <si>
    <t>10.1016/ailsci</t>
  </si>
  <si>
    <t>Neuroimmunology Reports</t>
  </si>
  <si>
    <t>2667-257X</t>
  </si>
  <si>
    <t>10.1016/nerep</t>
  </si>
  <si>
    <t>The Journal of Climate Change and Health</t>
  </si>
  <si>
    <t>2667-2782</t>
  </si>
  <si>
    <t>10.1016/joclim</t>
  </si>
  <si>
    <t>JACC: Asia</t>
  </si>
  <si>
    <t>2772-3747</t>
  </si>
  <si>
    <t>10.1016/jacasi</t>
  </si>
  <si>
    <t>Exploratory Research in Clinical and Social Pharmacy</t>
  </si>
  <si>
    <t>2667-2766</t>
  </si>
  <si>
    <t>10.1016/rcsop</t>
  </si>
  <si>
    <t>Chemical Thermodynamics and Thermal Analysis</t>
  </si>
  <si>
    <t>2667-3126</t>
  </si>
  <si>
    <t>10.1016/ctta</t>
  </si>
  <si>
    <t>SSM - Qualitative Research in Health</t>
  </si>
  <si>
    <t>2667-3215</t>
  </si>
  <si>
    <t>10.1016/ssmqr</t>
  </si>
  <si>
    <t>Sleep Epidemiology</t>
  </si>
  <si>
    <t>2667-3436</t>
  </si>
  <si>
    <t>10.1016/sleepe</t>
  </si>
  <si>
    <t>Foot &amp; Ankle Surgery: Techniques, Reports &amp; Cases</t>
  </si>
  <si>
    <t>2667-3967</t>
  </si>
  <si>
    <t>10.1016/fastrc</t>
  </si>
  <si>
    <t>Advances in Cancer Biology - Metastasis</t>
  </si>
  <si>
    <t>2667-3940</t>
  </si>
  <si>
    <t>10.1016/adcanc</t>
  </si>
  <si>
    <t>ISPRS Open Journal of Photogrammetry and Remote Sensing</t>
  </si>
  <si>
    <t>2667-3932</t>
  </si>
  <si>
    <t>10.1016/ophoto</t>
  </si>
  <si>
    <t>Measurement: Food</t>
  </si>
  <si>
    <t>Agricultural and Biological Sciences | Life Sciences | Physical Sciences and Engineering | Social Sciences | Social Sciences and Humanities</t>
  </si>
  <si>
    <t>2772-2759</t>
  </si>
  <si>
    <t>10.1016/meafoo</t>
  </si>
  <si>
    <t>The Lancet Regional Health - Southeast Asia</t>
  </si>
  <si>
    <t>2772-3682</t>
  </si>
  <si>
    <t>10.1016/lansea</t>
  </si>
  <si>
    <t>Power Electronic Devices and Components</t>
  </si>
  <si>
    <t>2772-3704</t>
  </si>
  <si>
    <t>10.1016/pedc</t>
  </si>
  <si>
    <t>Additive Manufacturing Letters</t>
  </si>
  <si>
    <t>2772-3690</t>
  </si>
  <si>
    <t>10.1016/addlet</t>
  </si>
  <si>
    <t>Smart Agricultural Technology</t>
  </si>
  <si>
    <t>2772-3755</t>
  </si>
  <si>
    <t>10.1016/atech</t>
  </si>
  <si>
    <t>Cleaner Logistics and Supply Chain</t>
  </si>
  <si>
    <t>Economics and Finance | Engineering and Technology | Environmental Sciences | Life Sciences | Physical Sciences and Engineering | Social Sciences | Social Sciences and Humanities</t>
  </si>
  <si>
    <t>2772-3909</t>
  </si>
  <si>
    <t>10.1016/clscn</t>
  </si>
  <si>
    <t>Cleaner Materials</t>
  </si>
  <si>
    <t>Engineering and Technology | Environmental Sciences | Life Sciences | Materials Science | Physical Sciences and Engineering</t>
  </si>
  <si>
    <t>2772-3976</t>
  </si>
  <si>
    <t>10.1016/clema</t>
  </si>
  <si>
    <t>Journal of Chromatography Open</t>
  </si>
  <si>
    <t>2772-3917</t>
  </si>
  <si>
    <t>10.1016/jcoa</t>
  </si>
  <si>
    <t>Addiction Neuroscience</t>
  </si>
  <si>
    <t>2772-3925</t>
  </si>
  <si>
    <t>10.1016/addicn</t>
  </si>
  <si>
    <t>Nature-Based Solutions</t>
  </si>
  <si>
    <t>2772-4115</t>
  </si>
  <si>
    <t>10.1016/nbsj</t>
  </si>
  <si>
    <t>Neuroscience Applied</t>
  </si>
  <si>
    <t>2772-4085</t>
  </si>
  <si>
    <t>10.1016/nsa</t>
  </si>
  <si>
    <t>JADA Foundational Science</t>
  </si>
  <si>
    <t>2772-414X</t>
  </si>
  <si>
    <t>10.1016/jfscie</t>
  </si>
  <si>
    <t>Journal of Computational Mathematics and Data Science</t>
  </si>
  <si>
    <t>2772-4158</t>
  </si>
  <si>
    <t>10.1016/jcmds</t>
  </si>
  <si>
    <t>European Journal of Medicinal Chemistry Reports</t>
  </si>
  <si>
    <t>Chemistry | Health Sciences | Life Sciences | Pharmaceutical Sciences | Physical Sciences and Engineering</t>
  </si>
  <si>
    <t>2772-4174</t>
  </si>
  <si>
    <t>10.1016/ejmcr</t>
  </si>
  <si>
    <t>Journal of Hazardous Materials Advances</t>
  </si>
  <si>
    <t>2772-4166</t>
  </si>
  <si>
    <t>10.1016/hazadv</t>
  </si>
  <si>
    <t>Journal of Membrane Science Letters</t>
  </si>
  <si>
    <t>2772-4212</t>
  </si>
  <si>
    <t>10.1016/memlet</t>
  </si>
  <si>
    <t>Journal of Ionic Liquids</t>
  </si>
  <si>
    <t>2772-4220</t>
  </si>
  <si>
    <t>10.1016/jil</t>
  </si>
  <si>
    <t>Communications in Transportation Research</t>
  </si>
  <si>
    <t>2772-4247</t>
  </si>
  <si>
    <t>10.1016/commtr</t>
  </si>
  <si>
    <t>Energy Nexus</t>
  </si>
  <si>
    <t>Agricultural and Biological Sciences | Energy and Power | Life Sciences | Physical Sciences and Engineering</t>
  </si>
  <si>
    <t>2772-4271</t>
  </si>
  <si>
    <t>10.1016/nexus</t>
  </si>
  <si>
    <t>Healthcare Analytics</t>
  </si>
  <si>
    <t>Agricultural and Biological Sciences | Health Sciences | Mathematics | Physical Sciences and Engineering | Social Sciences</t>
  </si>
  <si>
    <t>2772-4425</t>
  </si>
  <si>
    <t>10.1016/health</t>
  </si>
  <si>
    <t>Infectious Medicine</t>
  </si>
  <si>
    <t>2772-431X</t>
  </si>
  <si>
    <t>10.1016/imj</t>
  </si>
  <si>
    <t>Invention Disclosure</t>
  </si>
  <si>
    <t>2772-4441</t>
  </si>
  <si>
    <t>10.1016/inv</t>
  </si>
  <si>
    <t>Human Factors in Healthcare</t>
  </si>
  <si>
    <t>Engineering and Technology | Health Professions | Health Sciences | Physical Sciences and Engineering</t>
  </si>
  <si>
    <t>2772-5014</t>
  </si>
  <si>
    <t>10.1016/hfh</t>
  </si>
  <si>
    <t>Telematics and Informatics Reports</t>
  </si>
  <si>
    <t>2772-5030</t>
  </si>
  <si>
    <t>10.1016/teler</t>
  </si>
  <si>
    <t>Applied Food Research</t>
  </si>
  <si>
    <t>2772-5022</t>
  </si>
  <si>
    <t>10.1016/afres</t>
  </si>
  <si>
    <t>Chinese Medical Journal Pulmonary and Critical Care Medicine</t>
  </si>
  <si>
    <t>2772-5588</t>
  </si>
  <si>
    <t>10.1016/pccm</t>
  </si>
  <si>
    <t>Digital Chemical Engineering</t>
  </si>
  <si>
    <t>2772-5081</t>
  </si>
  <si>
    <t>10.1016/dche</t>
  </si>
  <si>
    <t>Neuroscience Informatics</t>
  </si>
  <si>
    <t>Computer Science | Health Sciences | Life Sciences | Medicine | Neuroscience | Physical Sciences and Engineering</t>
  </si>
  <si>
    <t>2772-5286</t>
  </si>
  <si>
    <t>10.1016/neuri</t>
  </si>
  <si>
    <t>Brain and Spine</t>
  </si>
  <si>
    <t>Health Sciences | Social Sciences</t>
  </si>
  <si>
    <t>2772-5294</t>
  </si>
  <si>
    <t>10.1016/bas</t>
  </si>
  <si>
    <t>Dentistry Review</t>
  </si>
  <si>
    <t>2772-5596</t>
  </si>
  <si>
    <t>10.1016/dentre</t>
  </si>
  <si>
    <t>Green Analytical Chemistry</t>
  </si>
  <si>
    <t>2772-5774</t>
  </si>
  <si>
    <t>10.1016/greeac</t>
  </si>
  <si>
    <t>Advances in Sample Preparation</t>
  </si>
  <si>
    <t>2772-5820</t>
  </si>
  <si>
    <t>10.1016/sampre</t>
  </si>
  <si>
    <t>Science Talks</t>
  </si>
  <si>
    <t>Physical Sciences and Engineering | Social Sciences</t>
  </si>
  <si>
    <t>2772-5693</t>
  </si>
  <si>
    <t>10.1016/sctalk</t>
  </si>
  <si>
    <t>Gastro Hep Advances</t>
  </si>
  <si>
    <t>2772-5723</t>
  </si>
  <si>
    <t>10.1016/gastha</t>
  </si>
  <si>
    <t>Psychiatry Research Communications</t>
  </si>
  <si>
    <t>2772-5987</t>
  </si>
  <si>
    <t>10.1016/psycom</t>
  </si>
  <si>
    <t>Multimodal Transportation</t>
  </si>
  <si>
    <t>2772-5863</t>
  </si>
  <si>
    <t>10.1016/multra</t>
  </si>
  <si>
    <t>EJC Paediatric Oncology</t>
  </si>
  <si>
    <t>2772-610X</t>
  </si>
  <si>
    <t>10.1016/ejcped</t>
  </si>
  <si>
    <t>Health Sciences Review</t>
  </si>
  <si>
    <t>2772-6320</t>
  </si>
  <si>
    <t>10.1016/hsr</t>
  </si>
  <si>
    <t>EJC Skin Cancer</t>
  </si>
  <si>
    <t>2772-6118</t>
  </si>
  <si>
    <t>10.1016/ejcskn</t>
  </si>
  <si>
    <t>Clinical Immunology Communications</t>
  </si>
  <si>
    <t>2772-6134</t>
  </si>
  <si>
    <t>10.1016/clicom</t>
  </si>
  <si>
    <t>BJA Open</t>
  </si>
  <si>
    <t>2772-6096</t>
  </si>
  <si>
    <t>10.1016/bjao</t>
  </si>
  <si>
    <t>e-Prime - Advances in Electrical Engineering, Electronics and Energy</t>
  </si>
  <si>
    <t>2772-6711</t>
  </si>
  <si>
    <t>10.1016/prime</t>
  </si>
  <si>
    <t>Decision Analytics Journal</t>
  </si>
  <si>
    <t>Decision Sciences | Mathematics | Social Sciences and Humanities</t>
  </si>
  <si>
    <t>2772-6622</t>
  </si>
  <si>
    <t>10.1016/dajour</t>
  </si>
  <si>
    <t>World Development Sustainability</t>
  </si>
  <si>
    <t>2772-655X</t>
  </si>
  <si>
    <t>10.1016/wds</t>
  </si>
  <si>
    <t>Carbon Capture Science &amp; Technology</t>
  </si>
  <si>
    <t>2772-6568</t>
  </si>
  <si>
    <t>10.1016/ccst</t>
  </si>
  <si>
    <t>Dialogues in Health</t>
  </si>
  <si>
    <t>2772-6533</t>
  </si>
  <si>
    <t>10.1016/dialog</t>
  </si>
  <si>
    <t>Annals of Vascular Surgery - Brief Reports and Innovations</t>
  </si>
  <si>
    <t>2772-6878</t>
  </si>
  <si>
    <t>10.1016/avsurg</t>
  </si>
  <si>
    <t>Research in Diagnostic and Interventional Imaging</t>
  </si>
  <si>
    <t>2772-6525</t>
  </si>
  <si>
    <t>10.1016/redii</t>
  </si>
  <si>
    <t>PEC Innovation</t>
  </si>
  <si>
    <t>2772-6282</t>
  </si>
  <si>
    <t>10.1016/pecinn</t>
  </si>
  <si>
    <t>Osteoarthritis Imaging</t>
  </si>
  <si>
    <t>2772-6541</t>
  </si>
  <si>
    <t>10.1016/ostima</t>
  </si>
  <si>
    <t>JSAMS Plus</t>
  </si>
  <si>
    <t>2772-6967</t>
  </si>
  <si>
    <t>10.1016/jsampl</t>
  </si>
  <si>
    <t>animal - open space</t>
  </si>
  <si>
    <t>2772-6940</t>
  </si>
  <si>
    <t>10.1016/anopes</t>
  </si>
  <si>
    <t>IJID Regions</t>
  </si>
  <si>
    <t>2772-7076</t>
  </si>
  <si>
    <t>10.1016/ijregi</t>
  </si>
  <si>
    <t>Drug and Alcohol Dependence Reports</t>
  </si>
  <si>
    <t>2772-7246</t>
  </si>
  <si>
    <t>10.1016/dadr</t>
  </si>
  <si>
    <t>Journal of Creativity</t>
  </si>
  <si>
    <t>2713-3745</t>
  </si>
  <si>
    <t>10.1016/yjoc</t>
  </si>
  <si>
    <t>Journal of ISAKOS</t>
  </si>
  <si>
    <t>2059-7754</t>
  </si>
  <si>
    <t>10.1016/jisako</t>
  </si>
  <si>
    <t>Food Chemistry Advances</t>
  </si>
  <si>
    <t>2772-753X</t>
  </si>
  <si>
    <t>10.1016/focha</t>
  </si>
  <si>
    <t>SLAS Technology</t>
  </si>
  <si>
    <t>2472-6303</t>
  </si>
  <si>
    <t>10.1016/slast</t>
  </si>
  <si>
    <t>SLAS Discovery</t>
  </si>
  <si>
    <t>Drug Discovery | Health Sciences | Pharmacology | Social Sciences | Toxicology</t>
  </si>
  <si>
    <t>2472-5552</t>
  </si>
  <si>
    <t>10.1016/slasd</t>
  </si>
  <si>
    <t>Journal of Allergy and Clinical Immunology: Global</t>
  </si>
  <si>
    <t>2772-8293</t>
  </si>
  <si>
    <t>10.1016/jacig</t>
  </si>
  <si>
    <t>Cleaner and Circular Bioeconomy</t>
  </si>
  <si>
    <t>Economics and Finance | Environmental Sciences | Life Sciences | Social Sciences and Humanities</t>
  </si>
  <si>
    <t>2772-8013</t>
  </si>
  <si>
    <t>10.1016/clcb</t>
  </si>
  <si>
    <t>Cleaner Chemical Engineering</t>
  </si>
  <si>
    <t>2772-7823</t>
  </si>
  <si>
    <t>10.1016/clce</t>
  </si>
  <si>
    <t>Cleaner Energy Systems</t>
  </si>
  <si>
    <t>2772-7831</t>
  </si>
  <si>
    <t>10.1016/cles</t>
  </si>
  <si>
    <t>CJC Pediatric and Congenital Heart Disease</t>
  </si>
  <si>
    <t>2772-8129</t>
  </si>
  <si>
    <t>10.1016/cjcpc</t>
  </si>
  <si>
    <t>Emerging Animal Species</t>
  </si>
  <si>
    <t>2772-8137</t>
  </si>
  <si>
    <t>10.1016/eas</t>
  </si>
  <si>
    <t>Sustainable Chemistry for Climate Action</t>
  </si>
  <si>
    <t>2772-8269</t>
  </si>
  <si>
    <t>10.1016/scca</t>
  </si>
  <si>
    <t>Annals of Thoracic Surgery Short Reports</t>
  </si>
  <si>
    <t>2772-9931</t>
  </si>
  <si>
    <t>10.1016/atssr</t>
  </si>
  <si>
    <t>Journal of Computational Algebra</t>
  </si>
  <si>
    <t>2772-8277</t>
  </si>
  <si>
    <t>10.1016/jaca</t>
  </si>
  <si>
    <t>Academic Pathology</t>
  </si>
  <si>
    <t>2374-2895</t>
  </si>
  <si>
    <t>10.1016/acadpathol</t>
  </si>
  <si>
    <t>Superconductivity</t>
  </si>
  <si>
    <t>2772-8307</t>
  </si>
  <si>
    <t>10.1016/supcon</t>
  </si>
  <si>
    <t>Fundamental Plasma Physics</t>
  </si>
  <si>
    <t>2772-8285</t>
  </si>
  <si>
    <t>10.1016/fpp</t>
  </si>
  <si>
    <t>Obesity Pillars</t>
  </si>
  <si>
    <t>2667-3681</t>
  </si>
  <si>
    <t>10.1016/obpill</t>
  </si>
  <si>
    <t>Asia-Pacific Journal of Oncology Nursing</t>
  </si>
  <si>
    <t>2347-5625</t>
  </si>
  <si>
    <t>10.1016/apjon</t>
  </si>
  <si>
    <t>JOS Case Reports</t>
  </si>
  <si>
    <t>2772-9648</t>
  </si>
  <si>
    <t>10.1016/joscr</t>
  </si>
  <si>
    <t>Oral Oncology Reports</t>
  </si>
  <si>
    <t>2772-9060</t>
  </si>
  <si>
    <t>10.1016/oor</t>
  </si>
  <si>
    <t>Materials Today Electronics</t>
  </si>
  <si>
    <t>2772-9494</t>
  </si>
  <si>
    <t>10.1016/mtelec</t>
  </si>
  <si>
    <t>Journal of the Society for Cardiovascular Angiography &amp; Interventions</t>
  </si>
  <si>
    <t>2772-9303</t>
  </si>
  <si>
    <t>10.1016/jscai</t>
  </si>
  <si>
    <t>Cleaner Waste Systems</t>
  </si>
  <si>
    <t>2772-9125</t>
  </si>
  <si>
    <t>10.1016/clwas</t>
  </si>
  <si>
    <t>Solar Compass</t>
  </si>
  <si>
    <t>2772-9400</t>
  </si>
  <si>
    <t>10.1016/solcom</t>
  </si>
  <si>
    <t>Energy Reviews</t>
  </si>
  <si>
    <t>2772-9702</t>
  </si>
  <si>
    <t>10.1016/enrev</t>
  </si>
  <si>
    <t>JACC: Advances</t>
  </si>
  <si>
    <t>2772-963X</t>
  </si>
  <si>
    <t>10.1016/jacadv</t>
  </si>
  <si>
    <t>Continence</t>
  </si>
  <si>
    <t>2772-9737</t>
  </si>
  <si>
    <t>10.1016/cont</t>
  </si>
  <si>
    <t>Continence Reports</t>
  </si>
  <si>
    <t>2772-9745</t>
  </si>
  <si>
    <t>10.1016/contre</t>
  </si>
  <si>
    <t>Journal of Molecular and Cellular Cardiology Plus</t>
  </si>
  <si>
    <t>2772-9761</t>
  </si>
  <si>
    <t>10.1016/jmccpl</t>
  </si>
  <si>
    <t>Sustainable Technology and Entrepreneurship</t>
  </si>
  <si>
    <t>2773-0328</t>
  </si>
  <si>
    <t>10.1016/stae</t>
  </si>
  <si>
    <t>Clinics</t>
  </si>
  <si>
    <t>1807-5932</t>
  </si>
  <si>
    <t>10.1016/clinsp</t>
  </si>
  <si>
    <t>Psychiatry Research Case Reports</t>
  </si>
  <si>
    <t>2773-0212</t>
  </si>
  <si>
    <t>10.1016/psycr</t>
  </si>
  <si>
    <t>Journal of Pathology Informatics</t>
  </si>
  <si>
    <t>2153-3539</t>
  </si>
  <si>
    <t>10.1016/jpi</t>
  </si>
  <si>
    <t>Journal of Public Transportation</t>
  </si>
  <si>
    <t>1077-291X</t>
  </si>
  <si>
    <t>10.1016/jpubtr</t>
  </si>
  <si>
    <t>Extracellular Vesicle</t>
  </si>
  <si>
    <t>2773-0417</t>
  </si>
  <si>
    <t>10.1016/vesic</t>
  </si>
  <si>
    <t>Structural Heart</t>
  </si>
  <si>
    <t>2474-8706</t>
  </si>
  <si>
    <t>10.1016/shj</t>
  </si>
  <si>
    <t>Hygiene and Environmental Health Advances</t>
  </si>
  <si>
    <t>2773-0492</t>
  </si>
  <si>
    <t>10.1016/heha</t>
  </si>
  <si>
    <t>Advanced Sensor and Energy Materials</t>
  </si>
  <si>
    <t>2773-045X</t>
  </si>
  <si>
    <t>10.1016/asems</t>
  </si>
  <si>
    <t>Journal of Trace Elements and Minerals</t>
  </si>
  <si>
    <t>Agricultural and Biological Sciences | Chemistry | Environmental Sciences | Health Sciences | Life Sciences | Medicine | Nursing and Midwifery | Physical Sciences and Engineering | Toxicology | Veterinary Science and Veterinary Medicine</t>
  </si>
  <si>
    <t>2773-0506</t>
  </si>
  <si>
    <t>10.1016/jtemin</t>
  </si>
  <si>
    <t>The Royal College of Radiologists Open</t>
  </si>
  <si>
    <t>2773-0662</t>
  </si>
  <si>
    <t>10.1016/rcro</t>
  </si>
  <si>
    <t>AJPM Focus</t>
  </si>
  <si>
    <t>2773-0654</t>
  </si>
  <si>
    <t>10.1016/focus</t>
  </si>
  <si>
    <t>Memories - Materials, Devices, Circuits and Systems</t>
  </si>
  <si>
    <t>2773-0646</t>
  </si>
  <si>
    <t>10.1016/memori</t>
  </si>
  <si>
    <t>Journal of Natural Pesticide Research</t>
  </si>
  <si>
    <t>2773-0786</t>
  </si>
  <si>
    <t>10.1016/napere</t>
  </si>
  <si>
    <t>Journal of Neurorestoratology</t>
  </si>
  <si>
    <t>Life Sciences | Materials Science | Medicine | Neuroscience</t>
  </si>
  <si>
    <t>2324-2426</t>
  </si>
  <si>
    <t>10.1016/jnrt</t>
  </si>
  <si>
    <t>Theriogenology Wild</t>
  </si>
  <si>
    <t>2773-093X</t>
  </si>
  <si>
    <t>10.1016/therwi</t>
  </si>
  <si>
    <t>Clinical Surgical Oncology</t>
  </si>
  <si>
    <t>2773-160X</t>
  </si>
  <si>
    <t>10.1016/cson</t>
  </si>
  <si>
    <t>Plant Nano Biology</t>
  </si>
  <si>
    <t>2773-1111</t>
  </si>
  <si>
    <t>10.1016/plana</t>
  </si>
  <si>
    <t>Advances in Bamboo Science</t>
  </si>
  <si>
    <t>2773-1391</t>
  </si>
  <si>
    <t>10.1016/bamboo</t>
  </si>
  <si>
    <t>Redox Biochemistry and Chemistry</t>
  </si>
  <si>
    <t>2773-1766</t>
  </si>
  <si>
    <t>10.1016/rbc</t>
  </si>
  <si>
    <t>Journal of Orthopaedic Reports</t>
  </si>
  <si>
    <t>2773-157X</t>
  </si>
  <si>
    <t>10.1016/jorep</t>
  </si>
  <si>
    <t>Social and Emotional Learning: Research, Practice, and Policy</t>
  </si>
  <si>
    <t>2773-2339</t>
  </si>
  <si>
    <t>10.1016/sel</t>
  </si>
  <si>
    <t>Franklin Open</t>
  </si>
  <si>
    <t>2773-1863</t>
  </si>
  <si>
    <t>10.1016/fraope</t>
  </si>
  <si>
    <t>JEM Reports</t>
  </si>
  <si>
    <t>2773-2320</t>
  </si>
  <si>
    <t>10.1016/jemrpt</t>
  </si>
  <si>
    <t>Hybrid Advances</t>
  </si>
  <si>
    <t>2773-207X</t>
  </si>
  <si>
    <t>10.1016/hybadv</t>
  </si>
  <si>
    <t>Tetrahedron Green Chem</t>
  </si>
  <si>
    <t>2773-2231</t>
  </si>
  <si>
    <t>10.1016/tgchem</t>
  </si>
  <si>
    <t>Aspects of Molecular Medicine</t>
  </si>
  <si>
    <t>2949-6888</t>
  </si>
  <si>
    <t>10.1016/amolm</t>
  </si>
  <si>
    <t>WFUMB Ultrasound Open</t>
  </si>
  <si>
    <t>2949-6683</t>
  </si>
  <si>
    <t>10.1016/wfumbo</t>
  </si>
  <si>
    <t>Deep Brain Stimulation</t>
  </si>
  <si>
    <t>2949-6691</t>
  </si>
  <si>
    <t>10.1016/jdbs</t>
  </si>
  <si>
    <t>Tomography of Materials and Structures</t>
  </si>
  <si>
    <t>2949-673X</t>
  </si>
  <si>
    <t>10.1016/tmater</t>
  </si>
  <si>
    <t>Computers &amp; Education: X Reality</t>
  </si>
  <si>
    <t>2949-6780</t>
  </si>
  <si>
    <t>10.1016/cexr</t>
  </si>
  <si>
    <t>Societal Impacts</t>
  </si>
  <si>
    <t>Social Sciences</t>
  </si>
  <si>
    <t>2949-6977</t>
  </si>
  <si>
    <t>10.1016/socimp</t>
  </si>
  <si>
    <t>iGIE</t>
  </si>
  <si>
    <t>2949-7086</t>
  </si>
  <si>
    <t>10.1016/igie</t>
  </si>
  <si>
    <t>Journal of Pediatric Surgery Open</t>
  </si>
  <si>
    <t>2949-7116</t>
  </si>
  <si>
    <t>10.1016/yjpso</t>
  </si>
  <si>
    <t>Cancer Pathogenesis and Therapy</t>
  </si>
  <si>
    <t>2949-7132</t>
  </si>
  <si>
    <t>10.1016/cpt</t>
  </si>
  <si>
    <t>Natural Language Processing Journal</t>
  </si>
  <si>
    <t>2949-7191</t>
  </si>
  <si>
    <t>10.1016/nlp</t>
  </si>
  <si>
    <t>Journal of Food Protection</t>
  </si>
  <si>
    <t>0362-028X</t>
  </si>
  <si>
    <t>10.1016/jfp</t>
  </si>
  <si>
    <t>JAACAP Open</t>
  </si>
  <si>
    <t>2949-7329</t>
  </si>
  <si>
    <t>10.1016/jaacop</t>
  </si>
  <si>
    <t>Waste Management Bulletin</t>
  </si>
  <si>
    <t>2949-7507</t>
  </si>
  <si>
    <t>10.1016/wmb</t>
  </si>
  <si>
    <t>Materials Today Catalysis</t>
  </si>
  <si>
    <t>2949-754X</t>
  </si>
  <si>
    <t>10.1016/mtcata</t>
  </si>
  <si>
    <t>Chemistry of Inorganic Materials</t>
  </si>
  <si>
    <t>2949-7469</t>
  </si>
  <si>
    <t>10.1016/cinorg</t>
  </si>
  <si>
    <t>Artificial Intelligence Chemistry</t>
  </si>
  <si>
    <t>2949-7477</t>
  </si>
  <si>
    <t>10.1016/aichem</t>
  </si>
  <si>
    <t>Mucosal Immunology</t>
  </si>
  <si>
    <t>1933-0219</t>
  </si>
  <si>
    <t>10.1016/mucimm</t>
  </si>
  <si>
    <t>Journal of Open Innovation: Technology, Market, and Complexity</t>
  </si>
  <si>
    <t>2199-8531</t>
  </si>
  <si>
    <t>10.1016/joitmc</t>
  </si>
  <si>
    <t>Mayo Clinic Proceedings: Digital Health</t>
  </si>
  <si>
    <t>2949-7612</t>
  </si>
  <si>
    <t>10.1016/mcpdig</t>
  </si>
  <si>
    <t>Cell Reports Sustainability</t>
  </si>
  <si>
    <t>2949-7906</t>
  </si>
  <si>
    <t>10.1016/crsus</t>
  </si>
  <si>
    <t>Journal of Pharmaceutical and Biomedical Analysis Open</t>
  </si>
  <si>
    <t>2949-771X</t>
  </si>
  <si>
    <t>10.1016/jpbao</t>
  </si>
  <si>
    <t>Genetics in Medicine Open</t>
  </si>
  <si>
    <t>2949-7744</t>
  </si>
  <si>
    <t>10.1016/gimo</t>
  </si>
  <si>
    <t>Current Developments in Nutrition</t>
  </si>
  <si>
    <t>2475-2991</t>
  </si>
  <si>
    <t>10.1016/cdnut</t>
  </si>
  <si>
    <t>Advances in Nutrition</t>
  </si>
  <si>
    <t>2161-8313</t>
  </si>
  <si>
    <t>10.1016/advnut</t>
  </si>
  <si>
    <t>CHEST Critical Care</t>
  </si>
  <si>
    <t>2949-7884</t>
  </si>
  <si>
    <t>10.1016/chstcc</t>
  </si>
  <si>
    <t>Research and Practice in Thrombosis and Haemostasis</t>
  </si>
  <si>
    <t>2475-0379</t>
  </si>
  <si>
    <t>10.1016/rpth</t>
  </si>
  <si>
    <t>CHEST Pulmonary</t>
  </si>
  <si>
    <t>2949-7892</t>
  </si>
  <si>
    <t>10.1016/chpulm</t>
  </si>
  <si>
    <t>Journal of Economic Criminology</t>
  </si>
  <si>
    <t>2949-7914</t>
  </si>
  <si>
    <t>10.1016/jeconc</t>
  </si>
  <si>
    <t>Next Energy</t>
  </si>
  <si>
    <t>2949-821X</t>
  </si>
  <si>
    <t>10.1016/nxener</t>
  </si>
  <si>
    <t>Next Materials</t>
  </si>
  <si>
    <t>2949-8228</t>
  </si>
  <si>
    <t>10.1016/nxmate</t>
  </si>
  <si>
    <t>Next Sustainability</t>
  </si>
  <si>
    <t>2949-8236</t>
  </si>
  <si>
    <t>10.1016/nxsust</t>
  </si>
  <si>
    <t>ESMO Real World Data and Digital Oncology</t>
  </si>
  <si>
    <t>2949-8201</t>
  </si>
  <si>
    <t>10.1016/esmorw</t>
  </si>
  <si>
    <t>ESMO Gastrointestinal Oncology</t>
  </si>
  <si>
    <t>2949-8198</t>
  </si>
  <si>
    <t>10.1016/esmogo</t>
  </si>
  <si>
    <t>Next Nanotechnology</t>
  </si>
  <si>
    <t>2949-8295</t>
  </si>
  <si>
    <t>10.1016/nxnano</t>
  </si>
  <si>
    <t>Brain Behavior and Immunity Integrative</t>
  </si>
  <si>
    <t>2949-8341</t>
  </si>
  <si>
    <t>10.1016/bbii</t>
  </si>
  <si>
    <t>Journal of Engineering Research</t>
  </si>
  <si>
    <t>2307-1877</t>
  </si>
  <si>
    <t>10.1016/jer</t>
  </si>
  <si>
    <t>Australian and New Zealand Journal of Public Health</t>
  </si>
  <si>
    <t>1326-0200</t>
  </si>
  <si>
    <t>10.1016/anzjph</t>
  </si>
  <si>
    <t>Sustainable Chemistry for the Environment</t>
  </si>
  <si>
    <t>2949-8392</t>
  </si>
  <si>
    <t>10.1016/scenv</t>
  </si>
  <si>
    <t>First Nations Health and Wellbeing - The Lowitja Journal</t>
  </si>
  <si>
    <t>Arts and Humanities | Health Sciences | Medicine | Social Sciences | Social Sciences and Humanities</t>
  </si>
  <si>
    <t>2949-8406</t>
  </si>
  <si>
    <t>10.1016/fnhli</t>
  </si>
  <si>
    <t>SSM - Health Systems</t>
  </si>
  <si>
    <t>2949-8562</t>
  </si>
  <si>
    <t>10.1016/ssmhs</t>
  </si>
  <si>
    <t xml:space="preserve">Measurement and Evaluations in Cancer Care </t>
  </si>
  <si>
    <t>2949-8775</t>
  </si>
  <si>
    <t>10.1016/ymecc</t>
  </si>
  <si>
    <t>Supply Chain Analytics</t>
  </si>
  <si>
    <t>2949-8635</t>
  </si>
  <si>
    <t>10.1016/sca</t>
  </si>
  <si>
    <t>DeCarbon</t>
  </si>
  <si>
    <t>2949-8813</t>
  </si>
  <si>
    <t>10.1016/decarb</t>
  </si>
  <si>
    <t>Computers in Human Behavior: Artificial Humans</t>
  </si>
  <si>
    <t>2949-8821</t>
  </si>
  <si>
    <t>10.1016/chbah</t>
  </si>
  <si>
    <t>JFO Open Ophthalmology</t>
  </si>
  <si>
    <t>2949-8899</t>
  </si>
  <si>
    <t>10.1016/jfop</t>
  </si>
  <si>
    <t xml:space="preserve">Mechanobiology in Medicine </t>
  </si>
  <si>
    <t>Engineering and Technology | Health Sciences | Life Sciences | Medicine | Physical Sciences and Engineering</t>
  </si>
  <si>
    <t>2949-9070</t>
  </si>
  <si>
    <t>10.1016/mbm</t>
  </si>
  <si>
    <t xml:space="preserve">IJID One Health </t>
  </si>
  <si>
    <t>2949-9151</t>
  </si>
  <si>
    <t>10.1016/ijidoh</t>
  </si>
  <si>
    <t>Journal of Equine Rehabilitation</t>
  </si>
  <si>
    <t>2949-9054</t>
  </si>
  <si>
    <t>10.1016/eqre</t>
  </si>
  <si>
    <t>Transport Economics and Management</t>
  </si>
  <si>
    <t>2949-8996</t>
  </si>
  <si>
    <t>10.1016/team</t>
  </si>
  <si>
    <t>JVS-Vascular Insights</t>
  </si>
  <si>
    <t>2949-9127</t>
  </si>
  <si>
    <t>10.1016/jvsvi</t>
  </si>
  <si>
    <t>Brain Organoid and Systems Neuroscience Journal</t>
  </si>
  <si>
    <t>2949-9216</t>
  </si>
  <si>
    <t>10.1016/bosn</t>
  </si>
  <si>
    <t>Journal of Medicine, Surgery, and Public Health</t>
  </si>
  <si>
    <t>2949-916X</t>
  </si>
  <si>
    <t>10.1016/jmsph</t>
  </si>
  <si>
    <t>Medical Reports</t>
  </si>
  <si>
    <t>2949-9186</t>
  </si>
  <si>
    <t>10.1016/hmedic</t>
  </si>
  <si>
    <t>Journal of Alloys and Metallurgical Systems</t>
  </si>
  <si>
    <t>2949-9178</t>
  </si>
  <si>
    <t>10.1016/jalmes</t>
  </si>
  <si>
    <t>Health Care Transitions</t>
  </si>
  <si>
    <t>2949-9232</t>
  </si>
  <si>
    <t>10.1016/hctj</t>
  </si>
  <si>
    <t>International Journal of Electrochemical Science</t>
  </si>
  <si>
    <t>1452-3981</t>
  </si>
  <si>
    <t>10.1016/ijoes</t>
  </si>
  <si>
    <t>Surgery Case Reports: Advances and Techniques</t>
  </si>
  <si>
    <t>2950-1032</t>
  </si>
  <si>
    <t>10.1016/sycrs</t>
  </si>
  <si>
    <t>JAPhA Practice Innovations</t>
  </si>
  <si>
    <t>2949-9690</t>
  </si>
  <si>
    <t>10.1016/japhpi</t>
  </si>
  <si>
    <t>JAPhA Pharmacotherapy</t>
  </si>
  <si>
    <t>2949-9623</t>
  </si>
  <si>
    <t>10.1016/japhar</t>
  </si>
  <si>
    <t>Journal of Mood &amp; Anxiety Disorders</t>
  </si>
  <si>
    <t>2950-0044</t>
  </si>
  <si>
    <t>10.1016/xjmad</t>
  </si>
  <si>
    <t>Rare</t>
  </si>
  <si>
    <t>2950-0087</t>
  </si>
  <si>
    <t>10.1016/rare</t>
  </si>
  <si>
    <t>Journal of Cycling and Micromobility Research</t>
  </si>
  <si>
    <t>2950-1059</t>
  </si>
  <si>
    <t>10.1016/jcmr</t>
  </si>
  <si>
    <t>Evolving Earth</t>
  </si>
  <si>
    <t>2950-1172</t>
  </si>
  <si>
    <t>10.1016/eve</t>
  </si>
  <si>
    <t>Global Environmental Change Advances</t>
  </si>
  <si>
    <t>2950-1385</t>
  </si>
  <si>
    <t>10.1016/gecadv</t>
  </si>
  <si>
    <t>JHLT Open</t>
  </si>
  <si>
    <t>2950-1334</t>
  </si>
  <si>
    <t>10.1016/jhlto</t>
  </si>
  <si>
    <t>Results in Earth Sciences</t>
  </si>
  <si>
    <t>2211-7148</t>
  </si>
  <si>
    <t>10.1016/rines</t>
  </si>
  <si>
    <t>Energy Efficiency First</t>
  </si>
  <si>
    <t>2950-1563</t>
  </si>
  <si>
    <t>10.1016/eef</t>
  </si>
  <si>
    <t>Nexus</t>
  </si>
  <si>
    <t>2950-1601</t>
  </si>
  <si>
    <t>10.1016/ynexs</t>
  </si>
  <si>
    <t>Child Protection and Practice</t>
  </si>
  <si>
    <t>2950-1938</t>
  </si>
  <si>
    <t>10.1016/chipro</t>
  </si>
  <si>
    <t>Molecules and Cells</t>
  </si>
  <si>
    <t>1016-8478</t>
  </si>
  <si>
    <t>10.1016/mocell</t>
  </si>
  <si>
    <t>The Microbe</t>
  </si>
  <si>
    <t>2950-1946</t>
  </si>
  <si>
    <t>10.1016/microb</t>
  </si>
  <si>
    <t>The Journal of Liquid Biopsy</t>
  </si>
  <si>
    <t>2950-1954</t>
  </si>
  <si>
    <t>10.1016/jlb</t>
  </si>
  <si>
    <t>JAAD Reviews</t>
  </si>
  <si>
    <t>2950-1989</t>
  </si>
  <si>
    <t>10.1016/jdrv</t>
  </si>
  <si>
    <t>Innovative Practice in Breast Health</t>
  </si>
  <si>
    <t>2950-2128</t>
  </si>
  <si>
    <t>10.1016/ibreh</t>
  </si>
  <si>
    <t>Brain and Development Case Reports</t>
  </si>
  <si>
    <t>2950-2217</t>
  </si>
  <si>
    <t>10.1016/bdcasr</t>
  </si>
  <si>
    <t>Regional Science Policy &amp; Practice</t>
  </si>
  <si>
    <t>1757-7802</t>
  </si>
  <si>
    <t>10.1016/rspp</t>
  </si>
  <si>
    <t>Papers in Regional Science</t>
  </si>
  <si>
    <t>1056-8190</t>
  </si>
  <si>
    <t>10.1016/pirs</t>
  </si>
  <si>
    <t>Surgical Oncology Insight</t>
  </si>
  <si>
    <t>2950-2470</t>
  </si>
  <si>
    <t>10.1016/soi</t>
  </si>
  <si>
    <t>Quaternary Environments and Humans</t>
  </si>
  <si>
    <t>Arts and Humanities | Earth and Planetary Sciences | Physical Sciences and Engineering | Social Sciences and Humanities</t>
  </si>
  <si>
    <t>2950-2365</t>
  </si>
  <si>
    <t>10.1016/qeh</t>
  </si>
  <si>
    <t>Cleaner Water</t>
  </si>
  <si>
    <t>2950-2632</t>
  </si>
  <si>
    <t>10.1016/clwat</t>
  </si>
  <si>
    <t>AJO International</t>
  </si>
  <si>
    <t>2950-2535</t>
  </si>
  <si>
    <t>10.1016/ajoint</t>
  </si>
  <si>
    <t>The Journal of nutrition, health and aging</t>
  </si>
  <si>
    <t>1279-7707</t>
  </si>
  <si>
    <t>10.1016/jnha</t>
  </si>
  <si>
    <t>Future Batteries</t>
  </si>
  <si>
    <t>2950-2640</t>
  </si>
  <si>
    <t>10.1016/fub</t>
  </si>
  <si>
    <t>Materials Today Quantum</t>
  </si>
  <si>
    <t>2950-2578</t>
  </si>
  <si>
    <t>10.1016/mtquan</t>
  </si>
  <si>
    <t>Cardiovascular Revascularization Medicine: Interesting Cases</t>
  </si>
  <si>
    <t>2950-2756</t>
  </si>
  <si>
    <t>10.1016/crmic</t>
  </si>
  <si>
    <t>Asia-Pacific Journal of Ophthalmology</t>
  </si>
  <si>
    <t>2162-0989</t>
  </si>
  <si>
    <t>10.1016/apjo</t>
  </si>
  <si>
    <t>Cell Stress and Chaperones</t>
  </si>
  <si>
    <t>1355-8145</t>
  </si>
  <si>
    <t>10.1016/cstres</t>
  </si>
  <si>
    <t>Thyroid Science</t>
  </si>
  <si>
    <t>2950-3000</t>
  </si>
  <si>
    <t>10.1016/thscie</t>
  </si>
  <si>
    <t>Soil Advances</t>
  </si>
  <si>
    <t>2950-2896</t>
  </si>
  <si>
    <t>10.1016/soilad</t>
  </si>
  <si>
    <t>European Transport Studies</t>
  </si>
  <si>
    <t>2950-2985</t>
  </si>
  <si>
    <t>10.1016/ets</t>
  </si>
  <si>
    <t>Journal of Allergy and Hypersensitivity Diseases</t>
  </si>
  <si>
    <t>Health Sciences | Immunology | Life Sciences | Medicine | Toxicology</t>
  </si>
  <si>
    <t>2950-3124</t>
  </si>
  <si>
    <t>10.1016/jahd</t>
  </si>
  <si>
    <t>Archives of Gerontology and Geriatrics Plus</t>
  </si>
  <si>
    <t>2950-3078</t>
  </si>
  <si>
    <t>10.1016/aggp</t>
  </si>
  <si>
    <t>Measurement: Energy</t>
  </si>
  <si>
    <t>2950-3450</t>
  </si>
  <si>
    <t>10.1016/meaene</t>
  </si>
  <si>
    <t>Wind Energy and Engineering Research</t>
  </si>
  <si>
    <t>2950-3604</t>
  </si>
  <si>
    <t>10.1016/weer</t>
  </si>
  <si>
    <t>Indoor Environments</t>
  </si>
  <si>
    <t>Built Environment | Physical Sciences and Engineering</t>
  </si>
  <si>
    <t>2950-3620</t>
  </si>
  <si>
    <t>10.1016/indenv</t>
  </si>
  <si>
    <t>Glial Health Research</t>
  </si>
  <si>
    <t>2950-4074</t>
  </si>
  <si>
    <t>10.1016/ghres</t>
  </si>
  <si>
    <t>Computational and Structural Biotechnology Reports</t>
  </si>
  <si>
    <t>2950-3639</t>
  </si>
  <si>
    <t>10.1016/csbr</t>
  </si>
  <si>
    <t>The American Journal of Geriatric Psychiatry: Open Science, Education, and Practice</t>
  </si>
  <si>
    <t>2950-3868</t>
  </si>
  <si>
    <t>10.1016/osep</t>
  </si>
  <si>
    <t>Journal of Cardiovascular Magnetic Resonance</t>
  </si>
  <si>
    <t>1097-6647</t>
  </si>
  <si>
    <t>10.1016/jocmr</t>
  </si>
  <si>
    <t xml:space="preserve">Computational Materials Today </t>
  </si>
  <si>
    <t>2950-4635</t>
  </si>
  <si>
    <t>10.1016/commt</t>
  </si>
  <si>
    <t>Clinical Medicine</t>
  </si>
  <si>
    <t>1470-2118</t>
  </si>
  <si>
    <t>10.1016/clinme</t>
  </si>
  <si>
    <t>Future Healthcare Journal</t>
  </si>
  <si>
    <t>2514-6645</t>
  </si>
  <si>
    <t>10.1016/fhj</t>
  </si>
  <si>
    <t>Intestinal Failure</t>
  </si>
  <si>
    <t>2950-4562</t>
  </si>
  <si>
    <t>10.1016/intf</t>
  </si>
  <si>
    <t>International Journal of Particle Therapy</t>
  </si>
  <si>
    <t>2331-5180</t>
  </si>
  <si>
    <t>10.1016/ijpt</t>
  </si>
  <si>
    <t>Global and Earth Surface Processes Change</t>
  </si>
  <si>
    <t>2950-4740</t>
  </si>
  <si>
    <t>10.1016/gespch</t>
  </si>
  <si>
    <t>Earth History and Biodiversity</t>
  </si>
  <si>
    <t>2950-4759</t>
  </si>
  <si>
    <t>10.1016/hisbio</t>
  </si>
  <si>
    <t>Journal of the Pediatric Orthopaedic Society of North America</t>
  </si>
  <si>
    <t>2768-2765</t>
  </si>
  <si>
    <t>10.1016/jposna</t>
  </si>
  <si>
    <t>Sustainable Chemistry for Energy Materials</t>
  </si>
  <si>
    <t>2950-4775</t>
  </si>
  <si>
    <t>10.1016/scenem</t>
  </si>
  <si>
    <t>Psychedelics</t>
  </si>
  <si>
    <t>2950-4848</t>
  </si>
  <si>
    <t>10.1016/psyche</t>
  </si>
  <si>
    <t>Coordination Chemistry Research</t>
  </si>
  <si>
    <t>2950-4864</t>
  </si>
  <si>
    <t>10.1016/cocr</t>
  </si>
  <si>
    <t>Sustainable Geosciences: People, Planet and Prosperity</t>
  </si>
  <si>
    <t>2950-4929</t>
  </si>
  <si>
    <t>10.1016/susgeo</t>
  </si>
  <si>
    <t>Desalination and Water Treatment</t>
  </si>
  <si>
    <t>1944-3986</t>
  </si>
  <si>
    <t>10.1016/dwt</t>
  </si>
  <si>
    <t>JACEP Open</t>
  </si>
  <si>
    <t>Health Sciences</t>
  </si>
  <si>
    <t>2688-1152</t>
  </si>
  <si>
    <t>10.1016/acepjo</t>
  </si>
  <si>
    <t>Geomatica</t>
  </si>
  <si>
    <t>1195-1036</t>
  </si>
  <si>
    <t>10.1016/geomat</t>
  </si>
  <si>
    <t>Digital Engineering</t>
  </si>
  <si>
    <t>2950-550X</t>
  </si>
  <si>
    <t>10.1016/dte</t>
  </si>
  <si>
    <t>JCA Advances</t>
  </si>
  <si>
    <t>2950-5534</t>
  </si>
  <si>
    <t>10.1016/jcadva</t>
  </si>
  <si>
    <t>Journal of the Air Transport Research Society</t>
  </si>
  <si>
    <t>2941-198X</t>
  </si>
  <si>
    <t>10.1016/jatrs</t>
  </si>
  <si>
    <t>KSCE Journal of Civil Engineering</t>
  </si>
  <si>
    <t>1226-7988</t>
  </si>
  <si>
    <t>10.1016/kscej</t>
  </si>
  <si>
    <t>CMI Communications</t>
  </si>
  <si>
    <t>2950-5909</t>
  </si>
  <si>
    <t>10.1016/cmicom</t>
  </si>
  <si>
    <t>JTCVS Structural and Endovascular</t>
  </si>
  <si>
    <t>2950-6050</t>
  </si>
  <si>
    <t>10.1016/xjse</t>
  </si>
  <si>
    <t>Italian Journal of Agronomy</t>
  </si>
  <si>
    <t>1125-4718</t>
  </si>
  <si>
    <t>10.1016/ijagro</t>
  </si>
  <si>
    <t>Journal of the European Meteorological Society</t>
  </si>
  <si>
    <t>2950-6301</t>
  </si>
  <si>
    <t>10.1016/jemets</t>
  </si>
  <si>
    <t>Digital Dentistry Journal</t>
  </si>
  <si>
    <t>2950-6433</t>
  </si>
  <si>
    <t>10.1016/ddj</t>
  </si>
  <si>
    <t>Mass Gathering Medicine</t>
  </si>
  <si>
    <t>3050-4562</t>
  </si>
  <si>
    <t>10.1016/mgmed</t>
  </si>
  <si>
    <t>ESMO Rare Cancers</t>
  </si>
  <si>
    <t>3050-4619</t>
  </si>
  <si>
    <t>10.1016/esmorc</t>
  </si>
  <si>
    <t>Geodata and AI</t>
  </si>
  <si>
    <t>3050-483X</t>
  </si>
  <si>
    <t>10.1016/geoai</t>
  </si>
  <si>
    <t>Global Challenges &amp; Regional Science</t>
  </si>
  <si>
    <t>3050-502X</t>
  </si>
  <si>
    <t>10.1016/gcrs</t>
  </si>
  <si>
    <t>The Lancet Primary Care</t>
  </si>
  <si>
    <t>3050-5143</t>
  </si>
  <si>
    <t>10.1016/lanprc</t>
  </si>
  <si>
    <t>Accounting Open</t>
  </si>
  <si>
    <t>3050-5461</t>
  </si>
  <si>
    <t>10.1016/accop</t>
  </si>
  <si>
    <t>International Psychogeriatrics</t>
  </si>
  <si>
    <t>1041-6102</t>
  </si>
  <si>
    <t>10.1016/inpsyc</t>
  </si>
  <si>
    <t>Transcranial Magnetic Stimulation</t>
  </si>
  <si>
    <t>3050-5291</t>
  </si>
  <si>
    <t>10.1016/transm</t>
  </si>
  <si>
    <t>The Journal of Prevention of Alzheimer's Disease</t>
  </si>
  <si>
    <t>Health Sciences | Life Sciences | Medicine | Neuroscience | Nursing and Midwifery | Psychology | Social Sciences and Humanities</t>
  </si>
  <si>
    <t>2274-5807</t>
  </si>
  <si>
    <t>10.1016/tjpad</t>
  </si>
  <si>
    <t>AI Thermal Fluids</t>
  </si>
  <si>
    <t>Chemical Engineering | Computer Science | Physical Sciences and Engineering</t>
  </si>
  <si>
    <t>3050-5852</t>
  </si>
  <si>
    <t>10.1016/aitf</t>
  </si>
  <si>
    <t>ASPET Discovery</t>
  </si>
  <si>
    <t>Drug Discovery | Health Professions | Health Sciences | Pharmaceutical Sciences | Pharmacology</t>
  </si>
  <si>
    <t>3050-5674</t>
  </si>
  <si>
    <t>10.1016/aspetd</t>
  </si>
  <si>
    <t>The Journal of Frailty &amp; Aging</t>
  </si>
  <si>
    <t>Economics and Finance | Health Professions | Health Sciences | Life Sciences | Medicine | Neuroscience | Nursing and Midwifery | Psychology</t>
  </si>
  <si>
    <t>2260-1341</t>
  </si>
  <si>
    <t>10.1016/tjfa</t>
  </si>
  <si>
    <t>The Journal of Aging Research &amp; Lifestyle</t>
  </si>
  <si>
    <t>Economics and Finance | Health Sciences | Life Sciences | Medicine | Neuroscience | Nursing and Midwifery | Psychology | Social Sciences and Humanities</t>
  </si>
  <si>
    <t>2534-773X</t>
  </si>
  <si>
    <t>10.1016/jarlif</t>
  </si>
  <si>
    <t>European Journal of Radiology Artificial Intelligence</t>
  </si>
  <si>
    <t>3050-5771</t>
  </si>
  <si>
    <t>10.1016/ejrai</t>
  </si>
  <si>
    <t>Brain and Environment</t>
  </si>
  <si>
    <t>3050-5917</t>
  </si>
  <si>
    <t>10.1016/braen</t>
  </si>
  <si>
    <t>Sustainable Chemistry for Biodiversity</t>
  </si>
  <si>
    <t>3050-6212</t>
  </si>
  <si>
    <t>10.1016/scbiod</t>
  </si>
  <si>
    <t>The Journal of Physiological Sciences</t>
  </si>
  <si>
    <t>1880-6546</t>
  </si>
  <si>
    <t>10.1016/jphyss</t>
  </si>
  <si>
    <t>NAM Journal</t>
  </si>
  <si>
    <t>3050-6204</t>
  </si>
  <si>
    <t>10.1016/namjnl</t>
  </si>
  <si>
    <t>The Journal of Nutritional Physiology</t>
  </si>
  <si>
    <t>3050-6247</t>
  </si>
  <si>
    <t>10.1016/jnphys</t>
  </si>
  <si>
    <t>The Journal of Precision Medicine: Health and Disease</t>
  </si>
  <si>
    <t>3050-6328</t>
  </si>
  <si>
    <t>10.1016/premed</t>
  </si>
  <si>
    <t>Total Environment Microbiology</t>
  </si>
  <si>
    <t>3050-6417</t>
  </si>
  <si>
    <t>10.1016/temicr</t>
  </si>
  <si>
    <t>Measurement: Digitalization</t>
  </si>
  <si>
    <t>3050-6441</t>
  </si>
  <si>
    <t>10.1016/meadig</t>
  </si>
  <si>
    <t>Carbon Neutral Technologies</t>
  </si>
  <si>
    <t>3050-6603</t>
  </si>
  <si>
    <t>10.1016/cnt</t>
  </si>
  <si>
    <t>Journal of Cardiac Failure - Intersections</t>
  </si>
  <si>
    <t>3050-6611</t>
  </si>
  <si>
    <t>10.1016/yjcafi</t>
  </si>
  <si>
    <t>Advances in Patient-Reported Outcomes</t>
  </si>
  <si>
    <t>3050-6964</t>
  </si>
  <si>
    <t>10.1016/apro</t>
  </si>
  <si>
    <t>Urban Transitions</t>
  </si>
  <si>
    <t>3050-6972</t>
  </si>
  <si>
    <t>10.1016/ubtr</t>
  </si>
  <si>
    <t>Finance Research Open</t>
  </si>
  <si>
    <t>3050-7006</t>
  </si>
  <si>
    <t>10.1016/finr</t>
  </si>
  <si>
    <t>EULAR Rheumatology Open</t>
  </si>
  <si>
    <t>3050-7081</t>
  </si>
  <si>
    <t>10.1016/ero</t>
  </si>
  <si>
    <t>Next Bioengineering</t>
  </si>
  <si>
    <t>Chemical Engineering | Life Sciences | Materials Science | Medicine | Physical Sciences and Engineering</t>
  </si>
  <si>
    <t>3050-7235</t>
  </si>
  <si>
    <t>10.1016/nxbio</t>
  </si>
  <si>
    <t>Geopsychiatry</t>
  </si>
  <si>
    <t>3050-7138</t>
  </si>
  <si>
    <t>10.1016/geopsy</t>
  </si>
  <si>
    <t>Next Chemical Engineering</t>
  </si>
  <si>
    <t>3050-7243</t>
  </si>
  <si>
    <t>10.1016/nxcen</t>
  </si>
  <si>
    <t>In Silico Research in Biomedicine</t>
  </si>
  <si>
    <t>3050-7871</t>
  </si>
  <si>
    <t>10.1016/insi</t>
  </si>
  <si>
    <t xml:space="preserve">Plant Phenomics </t>
  </si>
  <si>
    <t>2643-6515</t>
  </si>
  <si>
    <t>10.1016/plaphe</t>
  </si>
  <si>
    <t>BioDesign Research</t>
  </si>
  <si>
    <t>Agricultural and Biological Sciences | Chemical Engineering | Life Sciences | Medicine</t>
  </si>
  <si>
    <t>2693-1257</t>
  </si>
  <si>
    <t>10.1016/bidere</t>
  </si>
  <si>
    <t>Cleaner Food Systems</t>
  </si>
  <si>
    <t>3050-8355</t>
  </si>
  <si>
    <t>10.1016/clfs</t>
  </si>
  <si>
    <t>European Poultry Science</t>
  </si>
  <si>
    <t>0003-9098</t>
  </si>
  <si>
    <t>10.1016/eups</t>
  </si>
  <si>
    <t>Equity Neuroscience</t>
  </si>
  <si>
    <t>3050-8401</t>
  </si>
  <si>
    <t>10.1016/neuros</t>
  </si>
  <si>
    <t>Environmental Nexus</t>
  </si>
  <si>
    <t>3050-9890</t>
  </si>
  <si>
    <t>10.1016/enex</t>
  </si>
  <si>
    <t>Last updated: 2025-09-02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</si>
</sst>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€&quot;"/>
  </numFmts>
  <fonts count="6" x14ac:knownFonts="1">
    <font>
      <sz val="11"/>
      <color theme="1"/>
      <name val="Calibri"/>
    </font>
    <font>
      <b/>
      <sz val="10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u/>
      <sz val="10"/>
      <color indexed="4"/>
      <name val="arial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/>
    <xf numFmtId="169" fontId="0" fillId="0" borderId="0" xfId="0" applyNumberFormat="1"/>
    <xf numFmtId="169" fontId="3" fillId="0" borderId="0" xfId="0" applyNumberFormat="1" applyFont="1" applyAlignment="1">
      <alignment horizontal="right" vertical="top"/>
    </xf>
    <xf numFmtId="0" fontId="2" fillId="2" borderId="0" xfId="0" applyFont="1" applyFill="1" applyAlignment="1">
      <alignment horizontal="center" vertical="top" wrapText="1"/>
    </xf>
    <xf numFmtId="169" fontId="2" fillId="2" borderId="0" xfId="0" applyNumberFormat="1" applyFont="1" applyFill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onlyoffice.com/jsaProject" Target="js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4"/>
  <sheetViews>
    <sheetView tabSelected="1" workbookViewId="0">
      <pane ySplit="4" topLeftCell="A5" activePane="bottomLeft" state="frozen"/>
      <selection pane="bottomLeft" activeCell="A21" sqref="A21"/>
    </sheetView>
  </sheetViews>
  <sheetFormatPr baseColWidth="10" defaultColWidth="8.6640625" defaultRowHeight="14.4" x14ac:dyDescent="0.3"/>
  <cols>
    <col min="1" max="1" width="55.33203125" customWidth="1"/>
    <col min="2" max="2" width="61.44140625" customWidth="1"/>
    <col min="3" max="3" width="10.6640625" customWidth="1"/>
    <col min="4" max="4" width="15.21875" style="5" customWidth="1"/>
    <col min="5" max="5" width="28.6640625" customWidth="1"/>
    <col min="6" max="6" width="75.6640625" customWidth="1"/>
    <col min="7" max="7" width="30.6640625" customWidth="1"/>
  </cols>
  <sheetData>
    <row r="1" spans="1:7" ht="20.25" customHeight="1" x14ac:dyDescent="0.35">
      <c r="A1" s="4" t="s">
        <v>150</v>
      </c>
    </row>
    <row r="2" spans="1:7" ht="12.75" customHeight="1" x14ac:dyDescent="0.3">
      <c r="A2" s="3" t="s">
        <v>2530</v>
      </c>
    </row>
    <row r="4" spans="1:7" ht="24.75" customHeight="1" x14ac:dyDescent="0.3">
      <c r="A4" s="7" t="s">
        <v>1</v>
      </c>
      <c r="B4" s="7" t="s">
        <v>151</v>
      </c>
      <c r="C4" s="7" t="s">
        <v>0</v>
      </c>
      <c r="D4" s="8" t="s">
        <v>152</v>
      </c>
      <c r="E4" s="7" t="s">
        <v>153</v>
      </c>
      <c r="F4" s="7" t="s">
        <v>154</v>
      </c>
      <c r="G4" s="7" t="s">
        <v>155</v>
      </c>
    </row>
    <row r="5" spans="1:7" ht="12.75" customHeight="1" x14ac:dyDescent="0.3">
      <c r="A5" s="1" t="s">
        <v>53</v>
      </c>
      <c r="B5" s="1" t="s">
        <v>177</v>
      </c>
      <c r="C5" s="1" t="s">
        <v>52</v>
      </c>
      <c r="D5" s="6">
        <v>2472</v>
      </c>
      <c r="E5" s="1" t="s">
        <v>156</v>
      </c>
      <c r="F5" s="2" t="str">
        <f>HYPERLINK("https://www.sciencedirect.com/journal/environmental-and-experimental-botany")</f>
        <v>https://www.sciencedirect.com/journal/environmental-and-experimental-botany</v>
      </c>
      <c r="G5" s="1" t="s">
        <v>178</v>
      </c>
    </row>
    <row r="6" spans="1:7" ht="12.75" customHeight="1" x14ac:dyDescent="0.3">
      <c r="A6" s="1" t="s">
        <v>51</v>
      </c>
      <c r="B6" s="1" t="s">
        <v>185</v>
      </c>
      <c r="C6" s="1" t="s">
        <v>50</v>
      </c>
      <c r="D6" s="6">
        <v>3688</v>
      </c>
      <c r="E6" s="1" t="s">
        <v>156</v>
      </c>
      <c r="F6" s="2" t="str">
        <f>HYPERLINK("https://www.sciencedirect.com/journal/environment-international")</f>
        <v>https://www.sciencedirect.com/journal/environment-international</v>
      </c>
      <c r="G6" s="1" t="s">
        <v>186</v>
      </c>
    </row>
    <row r="7" spans="1:7" ht="12.75" customHeight="1" x14ac:dyDescent="0.3">
      <c r="A7" s="1" t="s">
        <v>9</v>
      </c>
      <c r="B7" s="1" t="s">
        <v>173</v>
      </c>
      <c r="C7" s="1" t="s">
        <v>8</v>
      </c>
      <c r="D7" s="6">
        <v>2368</v>
      </c>
      <c r="E7" s="1" t="s">
        <v>156</v>
      </c>
      <c r="F7" s="2" t="str">
        <f>HYPERLINK("https://www.sciencedirect.com/journal/applied-ocean-research")</f>
        <v>https://www.sciencedirect.com/journal/applied-ocean-research</v>
      </c>
      <c r="G7" s="1" t="s">
        <v>212</v>
      </c>
    </row>
    <row r="8" spans="1:7" ht="12.75" customHeight="1" x14ac:dyDescent="0.3">
      <c r="A8" s="1" t="s">
        <v>131</v>
      </c>
      <c r="B8" s="1" t="s">
        <v>197</v>
      </c>
      <c r="C8" s="1" t="s">
        <v>130</v>
      </c>
      <c r="D8" s="6">
        <v>2408</v>
      </c>
      <c r="E8" s="1" t="s">
        <v>156</v>
      </c>
      <c r="F8" s="2" t="str">
        <f>HYPERLINK("https://www.sciencedirect.com/journal/polymer-testing")</f>
        <v>https://www.sciencedirect.com/journal/polymer-testing</v>
      </c>
      <c r="G8" s="1" t="s">
        <v>217</v>
      </c>
    </row>
    <row r="9" spans="1:7" ht="12.75" customHeight="1" x14ac:dyDescent="0.3">
      <c r="A9" s="1" t="s">
        <v>41</v>
      </c>
      <c r="B9" s="1" t="s">
        <v>185</v>
      </c>
      <c r="C9" s="1" t="s">
        <v>40</v>
      </c>
      <c r="D9" s="6">
        <v>2816</v>
      </c>
      <c r="E9" s="1" t="s">
        <v>156</v>
      </c>
      <c r="F9" s="2" t="str">
        <f>HYPERLINK("https://www.sciencedirect.com/journal/ecological-indicators")</f>
        <v>https://www.sciencedirect.com/journal/ecological-indicators</v>
      </c>
      <c r="G9" s="1" t="s">
        <v>223</v>
      </c>
    </row>
    <row r="10" spans="1:7" ht="12.75" customHeight="1" x14ac:dyDescent="0.3">
      <c r="A10" s="1" t="s">
        <v>83</v>
      </c>
      <c r="B10" s="1" t="s">
        <v>226</v>
      </c>
      <c r="C10" s="1" t="s">
        <v>82</v>
      </c>
      <c r="D10" s="6">
        <v>2936</v>
      </c>
      <c r="E10" s="1" t="s">
        <v>156</v>
      </c>
      <c r="F10" s="2" t="str">
        <f>HYPERLINK("https://www.sciencedirect.com/journal/international-journal-of-electrical-power-and-energy-systems")</f>
        <v>https://www.sciencedirect.com/journal/international-journal-of-electrical-power-and-energy-systems</v>
      </c>
      <c r="G10" s="1" t="s">
        <v>227</v>
      </c>
    </row>
    <row r="11" spans="1:7" ht="12.75" customHeight="1" x14ac:dyDescent="0.3">
      <c r="A11" s="1" t="s">
        <v>111</v>
      </c>
      <c r="B11" s="1" t="s">
        <v>189</v>
      </c>
      <c r="C11" s="1" t="s">
        <v>110</v>
      </c>
      <c r="D11" s="6">
        <v>2752</v>
      </c>
      <c r="E11" s="1" t="s">
        <v>156</v>
      </c>
      <c r="F11" s="2" t="str">
        <f>HYPERLINK("https://www.sciencedirect.com/journal/materials-and-design")</f>
        <v>https://www.sciencedirect.com/journal/materials-and-design</v>
      </c>
      <c r="G11" s="1" t="s">
        <v>230</v>
      </c>
    </row>
    <row r="12" spans="1:7" ht="12.75" customHeight="1" x14ac:dyDescent="0.3">
      <c r="A12" s="1" t="s">
        <v>139</v>
      </c>
      <c r="B12" s="1" t="s">
        <v>232</v>
      </c>
      <c r="C12" s="1" t="s">
        <v>138</v>
      </c>
      <c r="D12" s="6">
        <v>2776</v>
      </c>
      <c r="E12" s="1" t="s">
        <v>156</v>
      </c>
      <c r="F12" s="2" t="str">
        <f>HYPERLINK("https://www.sciencedirect.com/journal/travel-medicine-and-infectious-disease")</f>
        <v>https://www.sciencedirect.com/journal/travel-medicine-and-infectious-disease</v>
      </c>
      <c r="G12" s="1" t="s">
        <v>233</v>
      </c>
    </row>
    <row r="13" spans="1:7" ht="12.75" customHeight="1" x14ac:dyDescent="0.3">
      <c r="A13" s="1" t="s">
        <v>235</v>
      </c>
      <c r="B13" s="1" t="s">
        <v>224</v>
      </c>
      <c r="C13" s="1" t="s">
        <v>236</v>
      </c>
      <c r="D13" s="6">
        <v>2320</v>
      </c>
      <c r="E13" s="1" t="s">
        <v>158</v>
      </c>
      <c r="F13" s="2" t="str">
        <f>HYPERLINK("https://www.sciencedirect.com/journal/international-journal-of-infectious-diseases")</f>
        <v>https://www.sciencedirect.com/journal/international-journal-of-infectious-diseases</v>
      </c>
      <c r="G13" s="1" t="s">
        <v>237</v>
      </c>
    </row>
    <row r="14" spans="1:7" ht="12.75" customHeight="1" x14ac:dyDescent="0.3">
      <c r="A14" s="1" t="s">
        <v>102</v>
      </c>
      <c r="B14" s="1" t="s">
        <v>222</v>
      </c>
      <c r="C14" s="1" t="s">
        <v>101</v>
      </c>
      <c r="D14" s="6">
        <v>2088</v>
      </c>
      <c r="E14" s="1" t="s">
        <v>158</v>
      </c>
      <c r="F14" s="2" t="str">
        <f>HYPERLINK("https://www.sciencedirect.com/journal/journal-of-tissue-viability")</f>
        <v>https://www.sciencedirect.com/journal/journal-of-tissue-viability</v>
      </c>
      <c r="G14" s="1" t="s">
        <v>242</v>
      </c>
    </row>
    <row r="15" spans="1:7" ht="12.75" customHeight="1" x14ac:dyDescent="0.3">
      <c r="A15" s="1" t="s">
        <v>244</v>
      </c>
      <c r="B15" s="1" t="s">
        <v>229</v>
      </c>
      <c r="C15" s="1" t="s">
        <v>245</v>
      </c>
      <c r="D15" s="6">
        <v>1080</v>
      </c>
      <c r="E15" s="1" t="s">
        <v>156</v>
      </c>
      <c r="F15" s="2" t="str">
        <f>HYPERLINK("https://www.sciencedirect.com/journal/respiratory-medicine-case-reports")</f>
        <v>https://www.sciencedirect.com/journal/respiratory-medicine-case-reports</v>
      </c>
      <c r="G15" s="1" t="s">
        <v>246</v>
      </c>
    </row>
    <row r="16" spans="1:7" ht="12.75" customHeight="1" x14ac:dyDescent="0.3">
      <c r="A16" s="1" t="s">
        <v>61</v>
      </c>
      <c r="B16" s="1" t="s">
        <v>253</v>
      </c>
      <c r="C16" s="1" t="s">
        <v>60</v>
      </c>
      <c r="D16" s="6">
        <v>2400</v>
      </c>
      <c r="E16" s="1" t="s">
        <v>156</v>
      </c>
      <c r="F16" s="2" t="str">
        <f>HYPERLINK("https://www.sciencedirect.com/journal/european-journal-of-pharmaceutical-sciences")</f>
        <v>https://www.sciencedirect.com/journal/european-journal-of-pharmaceutical-sciences</v>
      </c>
      <c r="G16" s="1" t="s">
        <v>254</v>
      </c>
    </row>
    <row r="17" spans="1:7" ht="12.75" customHeight="1" x14ac:dyDescent="0.3">
      <c r="A17" s="1" t="s">
        <v>123</v>
      </c>
      <c r="B17" s="1" t="s">
        <v>220</v>
      </c>
      <c r="C17" s="1" t="s">
        <v>122</v>
      </c>
      <c r="D17" s="6">
        <v>2960</v>
      </c>
      <c r="E17" s="1" t="s">
        <v>156</v>
      </c>
      <c r="F17" s="2" t="str">
        <f>HYPERLINK("https://www.sciencedirect.com/journal/new-biotechnology")</f>
        <v>https://www.sciencedirect.com/journal/new-biotechnology</v>
      </c>
      <c r="G17" s="1" t="s">
        <v>256</v>
      </c>
    </row>
    <row r="18" spans="1:7" ht="12.75" customHeight="1" x14ac:dyDescent="0.3">
      <c r="A18" s="1" t="s">
        <v>145</v>
      </c>
      <c r="B18" s="1" t="s">
        <v>257</v>
      </c>
      <c r="C18" s="1" t="s">
        <v>144</v>
      </c>
      <c r="D18" s="6">
        <v>2256</v>
      </c>
      <c r="E18" s="1" t="s">
        <v>156</v>
      </c>
      <c r="F18" s="2" t="str">
        <f>HYPERLINK("https://www.sciencedirect.com/journal/virus-research")</f>
        <v>https://www.sciencedirect.com/journal/virus-research</v>
      </c>
      <c r="G18" s="1" t="s">
        <v>259</v>
      </c>
    </row>
    <row r="19" spans="1:7" ht="12.75" customHeight="1" x14ac:dyDescent="0.3">
      <c r="A19" s="1" t="s">
        <v>5</v>
      </c>
      <c r="B19" s="1" t="s">
        <v>191</v>
      </c>
      <c r="C19" s="1" t="s">
        <v>4</v>
      </c>
      <c r="D19" s="6">
        <v>2456</v>
      </c>
      <c r="E19" s="1" t="s">
        <v>156</v>
      </c>
      <c r="F19" s="2" t="str">
        <f>HYPERLINK("https://www.sciencedirect.com/journal/agricultural-water-management")</f>
        <v>https://www.sciencedirect.com/journal/agricultural-water-management</v>
      </c>
      <c r="G19" s="1" t="s">
        <v>260</v>
      </c>
    </row>
    <row r="20" spans="1:7" ht="12.75" customHeight="1" x14ac:dyDescent="0.3">
      <c r="A20" s="1" t="s">
        <v>77</v>
      </c>
      <c r="B20" s="1" t="s">
        <v>262</v>
      </c>
      <c r="C20" s="1" t="s">
        <v>76</v>
      </c>
      <c r="D20" s="6">
        <v>2600</v>
      </c>
      <c r="E20" s="1" t="s">
        <v>156</v>
      </c>
      <c r="F20" s="2" t="str">
        <f>HYPERLINK("https://www.sciencedirect.com/journal/industrial-crops-and-products")</f>
        <v>https://www.sciencedirect.com/journal/industrial-crops-and-products</v>
      </c>
      <c r="G20" s="1" t="s">
        <v>263</v>
      </c>
    </row>
    <row r="21" spans="1:7" ht="12.75" customHeight="1" x14ac:dyDescent="0.3">
      <c r="A21" s="1" t="s">
        <v>133</v>
      </c>
      <c r="B21" s="1" t="s">
        <v>168</v>
      </c>
      <c r="C21" s="1" t="s">
        <v>132</v>
      </c>
      <c r="D21" s="6">
        <v>2304</v>
      </c>
      <c r="E21" s="1" t="s">
        <v>156</v>
      </c>
      <c r="F21" s="2" t="str">
        <f>HYPERLINK("https://www.sciencedirect.com/journal/scientia-horticulturae")</f>
        <v>https://www.sciencedirect.com/journal/scientia-horticulturae</v>
      </c>
      <c r="G21" s="1" t="s">
        <v>264</v>
      </c>
    </row>
    <row r="22" spans="1:7" ht="12.75" customHeight="1" x14ac:dyDescent="0.3">
      <c r="A22" s="1" t="s">
        <v>67</v>
      </c>
      <c r="B22" s="1" t="s">
        <v>266</v>
      </c>
      <c r="C22" s="1" t="s">
        <v>66</v>
      </c>
      <c r="D22" s="6">
        <v>2616</v>
      </c>
      <c r="E22" s="1" t="s">
        <v>156</v>
      </c>
      <c r="F22" s="2" t="str">
        <f>HYPERLINK("https://www.sciencedirect.com/journal/fuel-processing-technology")</f>
        <v>https://www.sciencedirect.com/journal/fuel-processing-technology</v>
      </c>
      <c r="G22" s="1" t="s">
        <v>267</v>
      </c>
    </row>
    <row r="23" spans="1:7" ht="12.75" customHeight="1" x14ac:dyDescent="0.3">
      <c r="A23" s="1" t="s">
        <v>141</v>
      </c>
      <c r="B23" s="1" t="s">
        <v>270</v>
      </c>
      <c r="C23" s="1" t="s">
        <v>140</v>
      </c>
      <c r="D23" s="6">
        <v>2712</v>
      </c>
      <c r="E23" s="1" t="s">
        <v>156</v>
      </c>
      <c r="F23" s="2" t="str">
        <f>HYPERLINK("https://www.sciencedirect.com/journal/ultrasonics-sonochemistry")</f>
        <v>https://www.sciencedirect.com/journal/ultrasonics-sonochemistry</v>
      </c>
      <c r="G23" s="1" t="s">
        <v>271</v>
      </c>
    </row>
    <row r="24" spans="1:7" ht="12.75" customHeight="1" x14ac:dyDescent="0.3">
      <c r="A24" s="1" t="s">
        <v>3</v>
      </c>
      <c r="B24" s="1" t="s">
        <v>273</v>
      </c>
      <c r="C24" s="1" t="s">
        <v>2</v>
      </c>
      <c r="D24" s="6">
        <v>1944</v>
      </c>
      <c r="E24" s="1" t="s">
        <v>156</v>
      </c>
      <c r="F24" s="2" t="str">
        <f>HYPERLINK("https://www.sciencedirect.com/journal/acta-psychologica")</f>
        <v>https://www.sciencedirect.com/journal/acta-psychologica</v>
      </c>
      <c r="G24" s="1" t="s">
        <v>274</v>
      </c>
    </row>
    <row r="25" spans="1:7" ht="12.75" customHeight="1" x14ac:dyDescent="0.3">
      <c r="A25" s="1" t="s">
        <v>71</v>
      </c>
      <c r="B25" s="1" t="s">
        <v>159</v>
      </c>
      <c r="C25" s="1" t="s">
        <v>70</v>
      </c>
      <c r="D25" s="6">
        <v>2784</v>
      </c>
      <c r="E25" s="1" t="s">
        <v>156</v>
      </c>
      <c r="F25" s="2" t="str">
        <f>HYPERLINK("https://www.sciencedirect.com/journal/geoderma")</f>
        <v>https://www.sciencedirect.com/journal/geoderma</v>
      </c>
      <c r="G25" s="1" t="s">
        <v>278</v>
      </c>
    </row>
    <row r="26" spans="1:7" ht="12.75" customHeight="1" x14ac:dyDescent="0.3">
      <c r="A26" s="1" t="s">
        <v>125</v>
      </c>
      <c r="B26" s="1" t="s">
        <v>169</v>
      </c>
      <c r="C26" s="1" t="s">
        <v>124</v>
      </c>
      <c r="D26" s="6">
        <v>2432</v>
      </c>
      <c r="E26" s="1" t="s">
        <v>156</v>
      </c>
      <c r="F26" s="2" t="str">
        <f>HYPERLINK("https://www.sciencedirect.com/journal/ore-geology-reviews")</f>
        <v>https://www.sciencedirect.com/journal/ore-geology-reviews</v>
      </c>
      <c r="G26" s="1" t="s">
        <v>279</v>
      </c>
    </row>
    <row r="27" spans="1:7" ht="12.75" customHeight="1" x14ac:dyDescent="0.3">
      <c r="A27" s="1" t="s">
        <v>99</v>
      </c>
      <c r="B27" s="1" t="s">
        <v>159</v>
      </c>
      <c r="C27" s="1" t="s">
        <v>98</v>
      </c>
      <c r="D27" s="6">
        <v>2112</v>
      </c>
      <c r="E27" s="1" t="s">
        <v>156</v>
      </c>
      <c r="F27" s="2" t="str">
        <f>HYPERLINK("https://www.sciencedirect.com/journal/journal-of-sea-research")</f>
        <v>https://www.sciencedirect.com/journal/journal-of-sea-research</v>
      </c>
      <c r="G27" s="1" t="s">
        <v>282</v>
      </c>
    </row>
    <row r="28" spans="1:7" ht="12.75" customHeight="1" x14ac:dyDescent="0.3">
      <c r="A28" s="1" t="s">
        <v>283</v>
      </c>
      <c r="B28" s="1" t="s">
        <v>222</v>
      </c>
      <c r="C28" s="1" t="s">
        <v>284</v>
      </c>
      <c r="D28" s="6">
        <v>1344</v>
      </c>
      <c r="E28" s="1" t="s">
        <v>158</v>
      </c>
      <c r="F28" s="2" t="str">
        <f>HYPERLINK("https://www.sciencedirect.com/journal/european-urology-open-science")</f>
        <v>https://www.sciencedirect.com/journal/european-urology-open-science</v>
      </c>
      <c r="G28" s="1" t="s">
        <v>285</v>
      </c>
    </row>
    <row r="29" spans="1:7" ht="12.75" customHeight="1" x14ac:dyDescent="0.3">
      <c r="A29" s="1" t="s">
        <v>106</v>
      </c>
      <c r="B29" s="1" t="s">
        <v>286</v>
      </c>
      <c r="C29" s="1" t="s">
        <v>105</v>
      </c>
      <c r="D29" s="6">
        <v>1272</v>
      </c>
      <c r="E29" s="1" t="s">
        <v>156</v>
      </c>
      <c r="F29" s="2" t="str">
        <f>HYPERLINK("https://www.sciencedirect.com/journal/journal-of-web-semantics")</f>
        <v>https://www.sciencedirect.com/journal/journal-of-web-semantics</v>
      </c>
      <c r="G29" s="1" t="s">
        <v>287</v>
      </c>
    </row>
    <row r="30" spans="1:7" ht="12.75" customHeight="1" x14ac:dyDescent="0.3">
      <c r="A30" s="1" t="s">
        <v>129</v>
      </c>
      <c r="B30" s="1" t="s">
        <v>222</v>
      </c>
      <c r="C30" s="1" t="s">
        <v>128</v>
      </c>
      <c r="D30" s="6">
        <v>2168</v>
      </c>
      <c r="E30" s="1" t="s">
        <v>156</v>
      </c>
      <c r="F30" s="2" t="str">
        <f>HYPERLINK("https://www.sciencedirect.com/journal/photodiagnosis-and-photodynamic-therapy")</f>
        <v>https://www.sciencedirect.com/journal/photodiagnosis-and-photodynamic-therapy</v>
      </c>
      <c r="G30" s="1" t="s">
        <v>288</v>
      </c>
    </row>
    <row r="31" spans="1:7" ht="12.75" customHeight="1" x14ac:dyDescent="0.3">
      <c r="A31" s="1" t="s">
        <v>289</v>
      </c>
      <c r="B31" s="1" t="s">
        <v>251</v>
      </c>
      <c r="C31" s="1" t="s">
        <v>290</v>
      </c>
      <c r="D31" s="6">
        <v>1800</v>
      </c>
      <c r="E31" s="1" t="s">
        <v>156</v>
      </c>
      <c r="F31" s="2" t="str">
        <f>HYPERLINK("https://www.sciencedirect.com/journal/stem-cell-research")</f>
        <v>https://www.sciencedirect.com/journal/stem-cell-research</v>
      </c>
      <c r="G31" s="1" t="s">
        <v>291</v>
      </c>
    </row>
    <row r="32" spans="1:7" ht="12.75" customHeight="1" x14ac:dyDescent="0.3">
      <c r="A32" s="1" t="s">
        <v>43</v>
      </c>
      <c r="B32" s="1" t="s">
        <v>185</v>
      </c>
      <c r="C32" s="1" t="s">
        <v>42</v>
      </c>
      <c r="D32" s="6">
        <v>2232</v>
      </c>
      <c r="E32" s="1" t="s">
        <v>156</v>
      </c>
      <c r="F32" s="2" t="str">
        <f>HYPERLINK("https://www.sciencedirect.com/journal/ecological-informatics")</f>
        <v>https://www.sciencedirect.com/journal/ecological-informatics</v>
      </c>
      <c r="G32" s="1" t="s">
        <v>292</v>
      </c>
    </row>
    <row r="33" spans="1:7" ht="12.75" customHeight="1" x14ac:dyDescent="0.3">
      <c r="A33" s="1" t="s">
        <v>81</v>
      </c>
      <c r="B33" s="1" t="s">
        <v>203</v>
      </c>
      <c r="C33" s="1" t="s">
        <v>80</v>
      </c>
      <c r="D33" s="6">
        <v>2648</v>
      </c>
      <c r="E33" s="1" t="s">
        <v>156</v>
      </c>
      <c r="F33" s="2" t="str">
        <f>HYPERLINK("https://www.sciencedirect.com/journal/international-journal-of-applied-earth-observation-and-geoinformation")</f>
        <v>https://www.sciencedirect.com/journal/international-journal-of-applied-earth-observation-and-geoinformation</v>
      </c>
      <c r="G33" s="1" t="s">
        <v>294</v>
      </c>
    </row>
    <row r="34" spans="1:7" ht="12.75" customHeight="1" x14ac:dyDescent="0.3">
      <c r="A34" s="1" t="s">
        <v>296</v>
      </c>
      <c r="B34" s="1" t="s">
        <v>268</v>
      </c>
      <c r="C34" s="1" t="s">
        <v>297</v>
      </c>
      <c r="D34" s="6">
        <v>1600</v>
      </c>
      <c r="E34" s="1" t="s">
        <v>156</v>
      </c>
      <c r="F34" s="2" t="str">
        <f>HYPERLINK("https://www.sciencedirect.com/journal/applied-catalysis-o-open")</f>
        <v>https://www.sciencedirect.com/journal/applied-catalysis-o-open</v>
      </c>
      <c r="G34" s="1" t="s">
        <v>298</v>
      </c>
    </row>
    <row r="35" spans="1:7" ht="12.75" customHeight="1" x14ac:dyDescent="0.3">
      <c r="A35" s="1" t="s">
        <v>79</v>
      </c>
      <c r="B35" s="1" t="s">
        <v>257</v>
      </c>
      <c r="C35" s="1" t="s">
        <v>78</v>
      </c>
      <c r="D35" s="6">
        <v>2152</v>
      </c>
      <c r="E35" s="1" t="s">
        <v>156</v>
      </c>
      <c r="F35" s="2" t="str">
        <f>HYPERLINK("https://www.sciencedirect.com/journal/infection-genetics-and-evolution")</f>
        <v>https://www.sciencedirect.com/journal/infection-genetics-and-evolution</v>
      </c>
      <c r="G35" s="1" t="s">
        <v>299</v>
      </c>
    </row>
    <row r="36" spans="1:7" ht="12.75" customHeight="1" x14ac:dyDescent="0.3">
      <c r="A36" s="1" t="s">
        <v>300</v>
      </c>
      <c r="B36" s="1" t="s">
        <v>222</v>
      </c>
      <c r="C36" s="1" t="s">
        <v>301</v>
      </c>
      <c r="D36" s="6">
        <v>1728</v>
      </c>
      <c r="E36" s="1" t="s">
        <v>158</v>
      </c>
      <c r="F36" s="2" t="str">
        <f>HYPERLINK("https://www.sciencedirect.com/journal/journal-of-infection-and-public-health")</f>
        <v>https://www.sciencedirect.com/journal/journal-of-infection-and-public-health</v>
      </c>
      <c r="G36" s="1" t="s">
        <v>302</v>
      </c>
    </row>
    <row r="37" spans="1:7" ht="12.75" customHeight="1" x14ac:dyDescent="0.3">
      <c r="A37" s="1" t="s">
        <v>91</v>
      </c>
      <c r="B37" s="1" t="s">
        <v>215</v>
      </c>
      <c r="C37" s="1" t="s">
        <v>90</v>
      </c>
      <c r="D37" s="6">
        <v>2144</v>
      </c>
      <c r="E37" s="1" t="s">
        <v>156</v>
      </c>
      <c r="F37" s="2" t="str">
        <f>HYPERLINK("https://www.sciencedirect.com/journal/journal-of-functional-foods")</f>
        <v>https://www.sciencedirect.com/journal/journal-of-functional-foods</v>
      </c>
      <c r="G37" s="1" t="s">
        <v>303</v>
      </c>
    </row>
    <row r="38" spans="1:7" ht="12.75" customHeight="1" x14ac:dyDescent="0.3">
      <c r="A38" s="1" t="s">
        <v>304</v>
      </c>
      <c r="B38" s="1" t="s">
        <v>187</v>
      </c>
      <c r="C38" s="1" t="s">
        <v>305</v>
      </c>
      <c r="D38" s="6">
        <v>2864</v>
      </c>
      <c r="E38" s="1" t="s">
        <v>156</v>
      </c>
      <c r="F38" s="2" t="str">
        <f>HYPERLINK("https://www.sciencedirect.com/journal/developmental-cognitive-neuroscience")</f>
        <v>https://www.sciencedirect.com/journal/developmental-cognitive-neuroscience</v>
      </c>
      <c r="G38" s="1" t="s">
        <v>306</v>
      </c>
    </row>
    <row r="39" spans="1:7" ht="12.75" customHeight="1" x14ac:dyDescent="0.3">
      <c r="A39" s="1" t="s">
        <v>47</v>
      </c>
      <c r="B39" s="1" t="s">
        <v>265</v>
      </c>
      <c r="C39" s="1" t="s">
        <v>46</v>
      </c>
      <c r="D39" s="6">
        <v>1968</v>
      </c>
      <c r="E39" s="1" t="s">
        <v>156</v>
      </c>
      <c r="F39" s="2" t="str">
        <f>HYPERLINK("https://www.sciencedirect.com/journal/electrochemistry-communications")</f>
        <v>https://www.sciencedirect.com/journal/electrochemistry-communications</v>
      </c>
      <c r="G39" s="1" t="s">
        <v>307</v>
      </c>
    </row>
    <row r="40" spans="1:7" ht="12.75" customHeight="1" x14ac:dyDescent="0.3">
      <c r="A40" s="1" t="s">
        <v>87</v>
      </c>
      <c r="B40" s="1" t="s">
        <v>225</v>
      </c>
      <c r="C40" s="1" t="s">
        <v>86</v>
      </c>
      <c r="D40" s="6">
        <v>1528</v>
      </c>
      <c r="E40" s="1" t="s">
        <v>156</v>
      </c>
      <c r="F40" s="2" t="str">
        <f>HYPERLINK("https://www.sciencedirect.com/journal/international-review-of-economics-and-finance")</f>
        <v>https://www.sciencedirect.com/journal/international-review-of-economics-and-finance</v>
      </c>
      <c r="G40" s="1" t="s">
        <v>308</v>
      </c>
    </row>
    <row r="41" spans="1:7" ht="12.75" customHeight="1" x14ac:dyDescent="0.3">
      <c r="A41" s="1" t="s">
        <v>17</v>
      </c>
      <c r="B41" s="1" t="s">
        <v>187</v>
      </c>
      <c r="C41" s="1" t="s">
        <v>16</v>
      </c>
      <c r="D41" s="6">
        <v>2648</v>
      </c>
      <c r="E41" s="1" t="s">
        <v>156</v>
      </c>
      <c r="F41" s="2" t="str">
        <f>HYPERLINK("https://www.sciencedirect.com/journal/brain-research-bulletin")</f>
        <v>https://www.sciencedirect.com/journal/brain-research-bulletin</v>
      </c>
      <c r="G41" s="1" t="s">
        <v>311</v>
      </c>
    </row>
    <row r="42" spans="1:7" ht="12.75" customHeight="1" x14ac:dyDescent="0.3">
      <c r="A42" s="1" t="s">
        <v>63</v>
      </c>
      <c r="B42" s="1" t="s">
        <v>312</v>
      </c>
      <c r="C42" s="1" t="s">
        <v>62</v>
      </c>
      <c r="D42" s="6">
        <v>2688</v>
      </c>
      <c r="E42" s="1" t="s">
        <v>156</v>
      </c>
      <c r="F42" s="2" t="str">
        <f>HYPERLINK("https://www.sciencedirect.com/journal/experimental-gerontology")</f>
        <v>https://www.sciencedirect.com/journal/experimental-gerontology</v>
      </c>
      <c r="G42" s="1" t="s">
        <v>313</v>
      </c>
    </row>
    <row r="43" spans="1:7" ht="12.75" customHeight="1" x14ac:dyDescent="0.3">
      <c r="A43" s="1" t="s">
        <v>316</v>
      </c>
      <c r="B43" s="1" t="s">
        <v>310</v>
      </c>
      <c r="C43" s="1" t="s">
        <v>317</v>
      </c>
      <c r="D43" s="6">
        <v>2016</v>
      </c>
      <c r="E43" s="1" t="s">
        <v>156</v>
      </c>
      <c r="F43" s="2" t="str">
        <f>HYPERLINK("https://www.sciencedirect.com/journal/current-therapeutic-research")</f>
        <v>https://www.sciencedirect.com/journal/current-therapeutic-research</v>
      </c>
      <c r="G43" s="1" t="s">
        <v>318</v>
      </c>
    </row>
    <row r="44" spans="1:7" ht="12.75" customHeight="1" x14ac:dyDescent="0.3">
      <c r="A44" s="1" t="s">
        <v>147</v>
      </c>
      <c r="B44" s="1" t="s">
        <v>193</v>
      </c>
      <c r="C44" s="1" t="s">
        <v>146</v>
      </c>
      <c r="D44" s="6">
        <v>2632</v>
      </c>
      <c r="E44" s="1" t="s">
        <v>156</v>
      </c>
      <c r="F44" s="2" t="str">
        <f>HYPERLINK("https://www.sciencedirect.com/journal/world-neurosurgery")</f>
        <v>https://www.sciencedirect.com/journal/world-neurosurgery</v>
      </c>
      <c r="G44" s="1" t="s">
        <v>320</v>
      </c>
    </row>
    <row r="45" spans="1:7" ht="12.75" customHeight="1" x14ac:dyDescent="0.3">
      <c r="A45" s="1" t="s">
        <v>19</v>
      </c>
      <c r="B45" s="1" t="s">
        <v>176</v>
      </c>
      <c r="C45" s="1" t="s">
        <v>18</v>
      </c>
      <c r="D45" s="6">
        <v>3472</v>
      </c>
      <c r="E45" s="1" t="s">
        <v>156</v>
      </c>
      <c r="F45" s="2" t="str">
        <f>HYPERLINK("https://www.sciencedirect.com/journal/brain-stimulation")</f>
        <v>https://www.sciencedirect.com/journal/brain-stimulation</v>
      </c>
      <c r="G45" s="1" t="s">
        <v>321</v>
      </c>
    </row>
    <row r="46" spans="1:7" ht="12.75" customHeight="1" x14ac:dyDescent="0.3">
      <c r="A46" s="1" t="s">
        <v>121</v>
      </c>
      <c r="B46" s="1" t="s">
        <v>187</v>
      </c>
      <c r="C46" s="1" t="s">
        <v>120</v>
      </c>
      <c r="D46" s="6">
        <v>2384</v>
      </c>
      <c r="E46" s="1" t="s">
        <v>156</v>
      </c>
      <c r="F46" s="2" t="str">
        <f>HYPERLINK("https://www.sciencedirect.com/journal/neuroscience-research")</f>
        <v>https://www.sciencedirect.com/journal/neuroscience-research</v>
      </c>
      <c r="G46" s="1" t="s">
        <v>323</v>
      </c>
    </row>
    <row r="47" spans="1:7" ht="12.75" customHeight="1" x14ac:dyDescent="0.3">
      <c r="A47" s="1" t="s">
        <v>324</v>
      </c>
      <c r="B47" s="1" t="s">
        <v>224</v>
      </c>
      <c r="C47" s="1" t="s">
        <v>325</v>
      </c>
      <c r="D47" s="6">
        <v>2136</v>
      </c>
      <c r="E47" s="1" t="s">
        <v>156</v>
      </c>
      <c r="F47" s="2" t="str">
        <f>HYPERLINK("https://www.sciencedirect.com/journal/atherosclerosis-plus")</f>
        <v>https://www.sciencedirect.com/journal/atherosclerosis-plus</v>
      </c>
      <c r="G47" s="1" t="s">
        <v>326</v>
      </c>
    </row>
    <row r="48" spans="1:7" ht="12.75" customHeight="1" x14ac:dyDescent="0.3">
      <c r="A48" s="1" t="s">
        <v>327</v>
      </c>
      <c r="B48" s="1" t="s">
        <v>222</v>
      </c>
      <c r="C48" s="1" t="s">
        <v>328</v>
      </c>
      <c r="D48" s="6">
        <v>2432</v>
      </c>
      <c r="E48" s="1" t="s">
        <v>156</v>
      </c>
      <c r="F48" s="2" t="str">
        <f>HYPERLINK("https://www.sciencedirect.com/journal/ijc-heart-and-vasculature")</f>
        <v>https://www.sciencedirect.com/journal/ijc-heart-and-vasculature</v>
      </c>
      <c r="G48" s="1" t="s">
        <v>329</v>
      </c>
    </row>
    <row r="49" spans="1:7" ht="12.75" customHeight="1" x14ac:dyDescent="0.3">
      <c r="A49" s="1" t="s">
        <v>330</v>
      </c>
      <c r="B49" s="1" t="s">
        <v>193</v>
      </c>
      <c r="C49" s="1" t="s">
        <v>331</v>
      </c>
      <c r="D49" s="6">
        <v>1896</v>
      </c>
      <c r="E49" s="1" t="s">
        <v>158</v>
      </c>
      <c r="F49" s="2" t="str">
        <f>HYPERLINK("https://www.sciencedirect.com/journal/clinical-and-translational-radiation-oncology")</f>
        <v>https://www.sciencedirect.com/journal/clinical-and-translational-radiation-oncology</v>
      </c>
      <c r="G49" s="1" t="s">
        <v>332</v>
      </c>
    </row>
    <row r="50" spans="1:7" ht="12.75" customHeight="1" x14ac:dyDescent="0.3">
      <c r="A50" s="1" t="s">
        <v>333</v>
      </c>
      <c r="B50" s="1" t="s">
        <v>240</v>
      </c>
      <c r="C50" s="1" t="s">
        <v>334</v>
      </c>
      <c r="D50" s="6"/>
      <c r="E50" s="1" t="s">
        <v>158</v>
      </c>
      <c r="F50" s="2" t="str">
        <f>HYPERLINK("https://www.sciencedirect.com/journal/technical-innovations-and-patient-support-in-radiation-oncology")</f>
        <v>https://www.sciencedirect.com/journal/technical-innovations-and-patient-support-in-radiation-oncology</v>
      </c>
      <c r="G50" s="1" t="s">
        <v>335</v>
      </c>
    </row>
    <row r="51" spans="1:7" ht="12.75" customHeight="1" x14ac:dyDescent="0.3">
      <c r="A51" s="1" t="s">
        <v>336</v>
      </c>
      <c r="B51" s="1" t="s">
        <v>231</v>
      </c>
      <c r="C51" s="1" t="s">
        <v>337</v>
      </c>
      <c r="D51" s="6">
        <v>1560</v>
      </c>
      <c r="E51" s="1" t="s">
        <v>158</v>
      </c>
      <c r="F51" s="2" t="str">
        <f>HYPERLINK("https://www.sciencedirect.com/journal/physics-and-imaging-in-radiation-oncology")</f>
        <v>https://www.sciencedirect.com/journal/physics-and-imaging-in-radiation-oncology</v>
      </c>
      <c r="G51" s="1" t="s">
        <v>338</v>
      </c>
    </row>
    <row r="52" spans="1:7" ht="12.75" customHeight="1" x14ac:dyDescent="0.3">
      <c r="A52" s="1" t="s">
        <v>29</v>
      </c>
      <c r="B52" s="1" t="s">
        <v>164</v>
      </c>
      <c r="C52" s="1" t="s">
        <v>28</v>
      </c>
      <c r="D52" s="6">
        <v>1048</v>
      </c>
      <c r="E52" s="1" t="s">
        <v>158</v>
      </c>
      <c r="F52" s="2" t="str">
        <f>HYPERLINK("https://www.sciencedirect.com/journal/chinese-journal-of-analytical-chemistry")</f>
        <v>https://www.sciencedirect.com/journal/chinese-journal-of-analytical-chemistry</v>
      </c>
      <c r="G52" s="1" t="s">
        <v>339</v>
      </c>
    </row>
    <row r="53" spans="1:7" ht="12.75" customHeight="1" x14ac:dyDescent="0.3">
      <c r="A53" s="1" t="s">
        <v>340</v>
      </c>
      <c r="B53" s="1" t="s">
        <v>224</v>
      </c>
      <c r="C53" s="1" t="s">
        <v>341</v>
      </c>
      <c r="D53" s="6">
        <v>2040</v>
      </c>
      <c r="E53" s="1" t="s">
        <v>156</v>
      </c>
      <c r="F53" s="2" t="str">
        <f>HYPERLINK("https://www.sciencedirect.com/journal/epidemics")</f>
        <v>https://www.sciencedirect.com/journal/epidemics</v>
      </c>
      <c r="G53" s="1" t="s">
        <v>342</v>
      </c>
    </row>
    <row r="54" spans="1:7" ht="12.75" customHeight="1" x14ac:dyDescent="0.3">
      <c r="A54" s="1" t="s">
        <v>135</v>
      </c>
      <c r="B54" s="1" t="s">
        <v>222</v>
      </c>
      <c r="C54" s="1" t="s">
        <v>134</v>
      </c>
      <c r="D54" s="6">
        <v>1664</v>
      </c>
      <c r="E54" s="1" t="s">
        <v>156</v>
      </c>
      <c r="F54" s="2" t="str">
        <f>HYPERLINK("https://www.sciencedirect.com/journal/sexual-and-reproductive-healthcare")</f>
        <v>https://www.sciencedirect.com/journal/sexual-and-reproductive-healthcare</v>
      </c>
      <c r="G54" s="1" t="s">
        <v>344</v>
      </c>
    </row>
    <row r="55" spans="1:7" ht="12.75" customHeight="1" x14ac:dyDescent="0.3">
      <c r="A55" s="1" t="s">
        <v>345</v>
      </c>
      <c r="B55" s="1" t="s">
        <v>229</v>
      </c>
      <c r="C55" s="1" t="s">
        <v>346</v>
      </c>
      <c r="D55" s="6">
        <v>864</v>
      </c>
      <c r="E55" s="1" t="s">
        <v>158</v>
      </c>
      <c r="F55" s="2" t="str">
        <f>HYPERLINK("https://www.sciencedirect.com/journal/journal-of-exercise-science-and-fitness")</f>
        <v>https://www.sciencedirect.com/journal/journal-of-exercise-science-and-fitness</v>
      </c>
      <c r="G55" s="1" t="s">
        <v>347</v>
      </c>
    </row>
    <row r="56" spans="1:7" ht="12.75" customHeight="1" x14ac:dyDescent="0.3">
      <c r="A56" s="1" t="s">
        <v>348</v>
      </c>
      <c r="B56" s="1" t="s">
        <v>220</v>
      </c>
      <c r="C56" s="1" t="s">
        <v>349</v>
      </c>
      <c r="D56" s="6">
        <v>3296</v>
      </c>
      <c r="E56" s="1" t="s">
        <v>158</v>
      </c>
      <c r="F56" s="2" t="str">
        <f>HYPERLINK("https://www.sciencedirect.com/journal/journal-of-advanced-research")</f>
        <v>https://www.sciencedirect.com/journal/journal-of-advanced-research</v>
      </c>
      <c r="G56" s="1" t="s">
        <v>350</v>
      </c>
    </row>
    <row r="57" spans="1:7" ht="12.75" customHeight="1" x14ac:dyDescent="0.3">
      <c r="A57" s="1" t="s">
        <v>351</v>
      </c>
      <c r="B57" s="1" t="s">
        <v>193</v>
      </c>
      <c r="C57" s="1" t="s">
        <v>352</v>
      </c>
      <c r="D57" s="6">
        <v>2448</v>
      </c>
      <c r="E57" s="1" t="s">
        <v>158</v>
      </c>
      <c r="F57" s="2" t="str">
        <f>HYPERLINK("https://www.sciencedirect.com/journal/journal-of-microbiology-immunology-and-infection")</f>
        <v>https://www.sciencedirect.com/journal/journal-of-microbiology-immunology-and-infection</v>
      </c>
      <c r="G57" s="1" t="s">
        <v>353</v>
      </c>
    </row>
    <row r="58" spans="1:7" ht="12.75" customHeight="1" x14ac:dyDescent="0.3">
      <c r="A58" s="1" t="s">
        <v>354</v>
      </c>
      <c r="B58" s="1" t="s">
        <v>218</v>
      </c>
      <c r="C58" s="1" t="s">
        <v>355</v>
      </c>
      <c r="D58" s="6">
        <v>896</v>
      </c>
      <c r="E58" s="1" t="s">
        <v>158</v>
      </c>
      <c r="F58" s="2" t="str">
        <f>HYPERLINK("https://www.sciencedirect.com/journal/egyptian-informatics-journal")</f>
        <v>https://www.sciencedirect.com/journal/egyptian-informatics-journal</v>
      </c>
      <c r="G58" s="1" t="s">
        <v>356</v>
      </c>
    </row>
    <row r="59" spans="1:7" ht="12.75" customHeight="1" x14ac:dyDescent="0.3">
      <c r="A59" s="1" t="s">
        <v>357</v>
      </c>
      <c r="B59" s="1" t="s">
        <v>358</v>
      </c>
      <c r="C59" s="1" t="s">
        <v>359</v>
      </c>
      <c r="D59" s="6">
        <v>672</v>
      </c>
      <c r="E59" s="1" t="s">
        <v>158</v>
      </c>
      <c r="F59" s="2" t="str">
        <f>HYPERLINK("https://www.sciencedirect.com/journal/the-egyptian-journal-of-remote-sensing-and-space-sciences")</f>
        <v>https://www.sciencedirect.com/journal/the-egyptian-journal-of-remote-sensing-and-space-sciences</v>
      </c>
      <c r="G59" s="1" t="s">
        <v>360</v>
      </c>
    </row>
    <row r="60" spans="1:7" ht="12.75" customHeight="1" x14ac:dyDescent="0.3">
      <c r="A60" s="1" t="s">
        <v>361</v>
      </c>
      <c r="B60" s="1" t="s">
        <v>107</v>
      </c>
      <c r="C60" s="1" t="s">
        <v>362</v>
      </c>
      <c r="D60" s="6">
        <v>752</v>
      </c>
      <c r="E60" s="1" t="s">
        <v>158</v>
      </c>
      <c r="F60" s="2" t="str">
        <f>HYPERLINK("https://www.sciencedirect.com/journal/journal-of-genetic-engineering-and-biotechnology")</f>
        <v>https://www.sciencedirect.com/journal/journal-of-genetic-engineering-and-biotechnology</v>
      </c>
      <c r="G60" s="1" t="s">
        <v>363</v>
      </c>
    </row>
    <row r="61" spans="1:7" ht="12.75" customHeight="1" x14ac:dyDescent="0.3">
      <c r="A61" s="1" t="s">
        <v>365</v>
      </c>
      <c r="B61" s="1" t="s">
        <v>160</v>
      </c>
      <c r="C61" s="1" t="s">
        <v>366</v>
      </c>
      <c r="D61" s="6">
        <v>896</v>
      </c>
      <c r="E61" s="1" t="s">
        <v>158</v>
      </c>
      <c r="F61" s="2" t="str">
        <f>HYPERLINK("https://www.sciencedirect.com/journal/ain-shams-engineering-journal")</f>
        <v>https://www.sciencedirect.com/journal/ain-shams-engineering-journal</v>
      </c>
      <c r="G61" s="1" t="s">
        <v>367</v>
      </c>
    </row>
    <row r="62" spans="1:7" ht="12.75" customHeight="1" x14ac:dyDescent="0.3">
      <c r="A62" s="1" t="s">
        <v>368</v>
      </c>
      <c r="B62" s="1" t="s">
        <v>160</v>
      </c>
      <c r="C62" s="1" t="s">
        <v>369</v>
      </c>
      <c r="D62" s="6">
        <v>1512</v>
      </c>
      <c r="E62" s="1" t="s">
        <v>158</v>
      </c>
      <c r="F62" s="2" t="str">
        <f>HYPERLINK("https://www.sciencedirect.com/journal/alexandria-engineering-journal")</f>
        <v>https://www.sciencedirect.com/journal/alexandria-engineering-journal</v>
      </c>
      <c r="G62" s="1" t="s">
        <v>370</v>
      </c>
    </row>
    <row r="63" spans="1:7" ht="12.75" customHeight="1" x14ac:dyDescent="0.3">
      <c r="A63" s="1" t="s">
        <v>371</v>
      </c>
      <c r="B63" s="1" t="s">
        <v>240</v>
      </c>
      <c r="C63" s="1" t="s">
        <v>372</v>
      </c>
      <c r="D63" s="6">
        <v>1600</v>
      </c>
      <c r="E63" s="1" t="s">
        <v>158</v>
      </c>
      <c r="F63" s="2" t="str">
        <f>HYPERLINK("https://www.sciencedirect.com/journal/african-journal-of-emergency-medicine")</f>
        <v>https://www.sciencedirect.com/journal/african-journal-of-emergency-medicine</v>
      </c>
      <c r="G63" s="1" t="s">
        <v>373</v>
      </c>
    </row>
    <row r="64" spans="1:7" ht="12.75" customHeight="1" x14ac:dyDescent="0.3">
      <c r="A64" s="1" t="s">
        <v>374</v>
      </c>
      <c r="B64" s="1" t="s">
        <v>253</v>
      </c>
      <c r="C64" s="1" t="s">
        <v>375</v>
      </c>
      <c r="D64" s="6">
        <v>1944</v>
      </c>
      <c r="E64" s="1" t="s">
        <v>158</v>
      </c>
      <c r="F64" s="2" t="str">
        <f>HYPERLINK("https://www.sciencedirect.com/journal/acta-pharmaceutica-sinica-b")</f>
        <v>https://www.sciencedirect.com/journal/acta-pharmaceutica-sinica-b</v>
      </c>
      <c r="G64" s="1" t="s">
        <v>376</v>
      </c>
    </row>
    <row r="65" spans="1:7" ht="12.75" customHeight="1" x14ac:dyDescent="0.3">
      <c r="A65" s="1" t="s">
        <v>377</v>
      </c>
      <c r="B65" s="1" t="s">
        <v>198</v>
      </c>
      <c r="C65" s="1" t="s">
        <v>378</v>
      </c>
      <c r="D65" s="6">
        <v>1656</v>
      </c>
      <c r="E65" s="1" t="s">
        <v>156</v>
      </c>
      <c r="F65" s="2" t="str">
        <f>HYPERLINK("https://www.sciencedirect.com/journal/results-in-physics")</f>
        <v>https://www.sciencedirect.com/journal/results-in-physics</v>
      </c>
      <c r="G65" s="1" t="s">
        <v>379</v>
      </c>
    </row>
    <row r="66" spans="1:7" ht="12.75" customHeight="1" x14ac:dyDescent="0.3">
      <c r="A66" s="1" t="s">
        <v>380</v>
      </c>
      <c r="B66" s="1" t="s">
        <v>168</v>
      </c>
      <c r="C66" s="1" t="s">
        <v>381</v>
      </c>
      <c r="D66" s="6">
        <v>752</v>
      </c>
      <c r="E66" s="1" t="s">
        <v>158</v>
      </c>
      <c r="F66" s="2" t="str">
        <f>HYPERLINK("https://www.sciencedirect.com/journal/annals-of-agricultural-sciences")</f>
        <v>https://www.sciencedirect.com/journal/annals-of-agricultural-sciences</v>
      </c>
      <c r="G66" s="1" t="s">
        <v>382</v>
      </c>
    </row>
    <row r="67" spans="1:7" ht="12.75" customHeight="1" x14ac:dyDescent="0.3">
      <c r="A67" s="1" t="s">
        <v>383</v>
      </c>
      <c r="B67" s="1" t="s">
        <v>253</v>
      </c>
      <c r="C67" s="1" t="s">
        <v>384</v>
      </c>
      <c r="D67" s="6">
        <v>1352</v>
      </c>
      <c r="E67" s="1" t="s">
        <v>158</v>
      </c>
      <c r="F67" s="2" t="str">
        <f>HYPERLINK("https://www.sciencedirect.com/journal/journal-of-pharmaceutical-analysis")</f>
        <v>https://www.sciencedirect.com/journal/journal-of-pharmaceutical-analysis</v>
      </c>
      <c r="G67" s="1" t="s">
        <v>385</v>
      </c>
    </row>
    <row r="68" spans="1:7" ht="12.75" customHeight="1" x14ac:dyDescent="0.3">
      <c r="A68" s="1" t="s">
        <v>387</v>
      </c>
      <c r="B68" s="1" t="s">
        <v>221</v>
      </c>
      <c r="C68" s="1" t="s">
        <v>388</v>
      </c>
      <c r="D68" s="6">
        <v>488</v>
      </c>
      <c r="E68" s="1" t="s">
        <v>158</v>
      </c>
      <c r="F68" s="2" t="str">
        <f>HYPERLINK("https://www.sciencedirect.com/journal/medical-mycology-case-reports")</f>
        <v>https://www.sciencedirect.com/journal/medical-mycology-case-reports</v>
      </c>
      <c r="G68" s="1" t="s">
        <v>389</v>
      </c>
    </row>
    <row r="69" spans="1:7" ht="12.75" customHeight="1" x14ac:dyDescent="0.3">
      <c r="A69" s="1" t="s">
        <v>391</v>
      </c>
      <c r="B69" s="1" t="s">
        <v>241</v>
      </c>
      <c r="C69" s="1" t="s">
        <v>392</v>
      </c>
      <c r="D69" s="6">
        <v>1680</v>
      </c>
      <c r="E69" s="1" t="s">
        <v>156</v>
      </c>
      <c r="F69" s="2" t="str">
        <f>HYPERLINK("https://www.sciencedirect.com/journal/international-journal-of-africa-nursing-sciences")</f>
        <v>https://www.sciencedirect.com/journal/international-journal-of-africa-nursing-sciences</v>
      </c>
      <c r="G69" s="1" t="s">
        <v>393</v>
      </c>
    </row>
    <row r="70" spans="1:7" ht="12.75" customHeight="1" x14ac:dyDescent="0.3">
      <c r="A70" s="1" t="s">
        <v>394</v>
      </c>
      <c r="B70" s="1" t="s">
        <v>203</v>
      </c>
      <c r="C70" s="1" t="s">
        <v>395</v>
      </c>
      <c r="D70" s="6">
        <v>1848</v>
      </c>
      <c r="E70" s="1" t="s">
        <v>156</v>
      </c>
      <c r="F70" s="2" t="str">
        <f>HYPERLINK("https://www.sciencedirect.com/journal/journal-of-hydrology-regional-studies")</f>
        <v>https://www.sciencedirect.com/journal/journal-of-hydrology-regional-studies</v>
      </c>
      <c r="G70" s="1" t="s">
        <v>396</v>
      </c>
    </row>
    <row r="71" spans="1:7" ht="12.75" customHeight="1" x14ac:dyDescent="0.3">
      <c r="A71" s="1" t="s">
        <v>15</v>
      </c>
      <c r="B71" s="1" t="s">
        <v>390</v>
      </c>
      <c r="C71" s="1" t="s">
        <v>14</v>
      </c>
      <c r="D71" s="6">
        <v>2704</v>
      </c>
      <c r="E71" s="1" t="s">
        <v>156</v>
      </c>
      <c r="F71" s="2" t="str">
        <f>HYPERLINK("https://www.sciencedirect.com/journal/biomedicine-and-pharmacotherapy")</f>
        <v>https://www.sciencedirect.com/journal/biomedicine-and-pharmacotherapy</v>
      </c>
      <c r="G71" s="1" t="s">
        <v>397</v>
      </c>
    </row>
    <row r="72" spans="1:7" ht="12.75" customHeight="1" x14ac:dyDescent="0.3">
      <c r="A72" s="1" t="s">
        <v>59</v>
      </c>
      <c r="B72" s="1" t="s">
        <v>251</v>
      </c>
      <c r="C72" s="1" t="s">
        <v>58</v>
      </c>
      <c r="D72" s="6">
        <v>2496</v>
      </c>
      <c r="E72" s="1" t="s">
        <v>156</v>
      </c>
      <c r="F72" s="2" t="str">
        <f>HYPERLINK("https://www.sciencedirect.com/journal/european-journal-of-medical-genetics")</f>
        <v>https://www.sciencedirect.com/journal/european-journal-of-medical-genetics</v>
      </c>
      <c r="G72" s="1" t="s">
        <v>399</v>
      </c>
    </row>
    <row r="73" spans="1:7" ht="12.75" customHeight="1" x14ac:dyDescent="0.3">
      <c r="A73" s="1" t="s">
        <v>57</v>
      </c>
      <c r="B73" s="1" t="s">
        <v>400</v>
      </c>
      <c r="C73" s="1" t="s">
        <v>56</v>
      </c>
      <c r="D73" s="6">
        <v>2208</v>
      </c>
      <c r="E73" s="1" t="s">
        <v>156</v>
      </c>
      <c r="F73" s="2" t="str">
        <f>HYPERLINK("https://www.sciencedirect.com/journal/european-journal-of-cell-biology")</f>
        <v>https://www.sciencedirect.com/journal/european-journal-of-cell-biology</v>
      </c>
      <c r="G73" s="1" t="s">
        <v>401</v>
      </c>
    </row>
    <row r="74" spans="1:7" ht="12.75" customHeight="1" x14ac:dyDescent="0.3">
      <c r="A74" s="1" t="s">
        <v>11</v>
      </c>
      <c r="B74" s="1" t="s">
        <v>402</v>
      </c>
      <c r="C74" s="1" t="s">
        <v>10</v>
      </c>
      <c r="D74" s="6">
        <v>1344</v>
      </c>
      <c r="E74" s="1" t="s">
        <v>158</v>
      </c>
      <c r="F74" s="2" t="str">
        <f>HYPERLINK("https://www.sciencedirect.com/journal/basic-and-applied-ecology")</f>
        <v>https://www.sciencedirect.com/journal/basic-and-applied-ecology</v>
      </c>
      <c r="G74" s="1" t="s">
        <v>403</v>
      </c>
    </row>
    <row r="75" spans="1:7" ht="12.75" customHeight="1" x14ac:dyDescent="0.3">
      <c r="A75" s="1" t="s">
        <v>85</v>
      </c>
      <c r="B75" s="1" t="s">
        <v>232</v>
      </c>
      <c r="C75" s="1" t="s">
        <v>84</v>
      </c>
      <c r="D75" s="6">
        <v>2552</v>
      </c>
      <c r="E75" s="1" t="s">
        <v>156</v>
      </c>
      <c r="F75" s="2" t="str">
        <f>HYPERLINK("https://www.sciencedirect.com/journal/international-journal-of-medical-microbiology")</f>
        <v>https://www.sciencedirect.com/journal/international-journal-of-medical-microbiology</v>
      </c>
      <c r="G75" s="1" t="s">
        <v>405</v>
      </c>
    </row>
    <row r="76" spans="1:7" ht="12.75" customHeight="1" x14ac:dyDescent="0.3">
      <c r="A76" s="1" t="s">
        <v>75</v>
      </c>
      <c r="B76" s="1" t="s">
        <v>207</v>
      </c>
      <c r="C76" s="1" t="s">
        <v>74</v>
      </c>
      <c r="D76" s="6">
        <v>2128</v>
      </c>
      <c r="E76" s="1" t="s">
        <v>156</v>
      </c>
      <c r="F76" s="2" t="str">
        <f>HYPERLINK("https://www.sciencedirect.com/journal/immunobiology")</f>
        <v>https://www.sciencedirect.com/journal/immunobiology</v>
      </c>
      <c r="G76" s="1" t="s">
        <v>406</v>
      </c>
    </row>
    <row r="77" spans="1:7" ht="12.75" customHeight="1" x14ac:dyDescent="0.3">
      <c r="A77" s="1" t="s">
        <v>149</v>
      </c>
      <c r="B77" s="1" t="s">
        <v>315</v>
      </c>
      <c r="C77" s="1" t="s">
        <v>148</v>
      </c>
      <c r="D77" s="6">
        <v>1872</v>
      </c>
      <c r="E77" s="1" t="s">
        <v>158</v>
      </c>
      <c r="F77" s="2" t="str">
        <f>HYPERLINK("https://www.sciencedirect.com/journal/zeitschrift-fur-medizinische-physik")</f>
        <v>https://www.sciencedirect.com/journal/zeitschrift-fur-medizinische-physik</v>
      </c>
      <c r="G77" s="1" t="s">
        <v>407</v>
      </c>
    </row>
    <row r="78" spans="1:7" ht="12.75" customHeight="1" x14ac:dyDescent="0.3">
      <c r="A78" s="1" t="s">
        <v>137</v>
      </c>
      <c r="B78" s="1" t="s">
        <v>408</v>
      </c>
      <c r="C78" s="1" t="s">
        <v>136</v>
      </c>
      <c r="D78" s="6">
        <v>2368</v>
      </c>
      <c r="E78" s="1" t="s">
        <v>156</v>
      </c>
      <c r="F78" s="2" t="str">
        <f>HYPERLINK("https://www.sciencedirect.com/journal/ticks-and-tick-borne-diseases")</f>
        <v>https://www.sciencedirect.com/journal/ticks-and-tick-borne-diseases</v>
      </c>
      <c r="G78" s="1" t="s">
        <v>409</v>
      </c>
    </row>
    <row r="79" spans="1:7" ht="12.75" customHeight="1" x14ac:dyDescent="0.3">
      <c r="A79" s="1" t="s">
        <v>97</v>
      </c>
      <c r="B79" s="1" t="s">
        <v>410</v>
      </c>
      <c r="C79" s="1" t="s">
        <v>96</v>
      </c>
      <c r="D79" s="6">
        <v>1344</v>
      </c>
      <c r="E79" s="1" t="s">
        <v>158</v>
      </c>
      <c r="F79" s="2" t="str">
        <f>HYPERLINK("https://www.sciencedirect.com/journal/journal-of-oral-biology-and-craniofacial-research")</f>
        <v>https://www.sciencedirect.com/journal/journal-of-oral-biology-and-craniofacial-research</v>
      </c>
      <c r="G79" s="1" t="s">
        <v>411</v>
      </c>
    </row>
    <row r="80" spans="1:7" ht="12.75" customHeight="1" x14ac:dyDescent="0.3">
      <c r="A80" s="1" t="s">
        <v>412</v>
      </c>
      <c r="B80" s="1" t="s">
        <v>173</v>
      </c>
      <c r="C80" s="1" t="s">
        <v>413</v>
      </c>
      <c r="D80" s="6">
        <v>1120</v>
      </c>
      <c r="E80" s="1" t="s">
        <v>158</v>
      </c>
      <c r="F80" s="2" t="str">
        <f>HYPERLINK("https://www.sciencedirect.com/journal/soils-and-foundations")</f>
        <v>https://www.sciencedirect.com/journal/soils-and-foundations</v>
      </c>
      <c r="G80" s="1" t="s">
        <v>414</v>
      </c>
    </row>
    <row r="81" spans="1:7" ht="12.75" customHeight="1" x14ac:dyDescent="0.3">
      <c r="A81" s="1" t="s">
        <v>415</v>
      </c>
      <c r="B81" s="1" t="s">
        <v>416</v>
      </c>
      <c r="C81" s="1" t="s">
        <v>417</v>
      </c>
      <c r="D81" s="6">
        <v>2192</v>
      </c>
      <c r="E81" s="1" t="s">
        <v>156</v>
      </c>
      <c r="F81" s="2" t="str">
        <f>HYPERLINK("https://www.sciencedirect.com/journal/water-resources-and-industry")</f>
        <v>https://www.sciencedirect.com/journal/water-resources-and-industry</v>
      </c>
      <c r="G81" s="1" t="s">
        <v>418</v>
      </c>
    </row>
    <row r="82" spans="1:7" ht="12.75" customHeight="1" x14ac:dyDescent="0.3">
      <c r="A82" s="1" t="s">
        <v>419</v>
      </c>
      <c r="B82" s="1" t="s">
        <v>157</v>
      </c>
      <c r="C82" s="1" t="s">
        <v>420</v>
      </c>
      <c r="D82" s="6">
        <v>1008</v>
      </c>
      <c r="E82" s="1" t="s">
        <v>158</v>
      </c>
      <c r="F82" s="2" t="str">
        <f>HYPERLINK("https://www.sciencedirect.com/journal/the-asian-journal-of-shipping-and-logistics")</f>
        <v>https://www.sciencedirect.com/journal/the-asian-journal-of-shipping-and-logistics</v>
      </c>
      <c r="G82" s="1" t="s">
        <v>421</v>
      </c>
    </row>
    <row r="83" spans="1:7" ht="12.75" customHeight="1" x14ac:dyDescent="0.3">
      <c r="A83" s="1" t="s">
        <v>422</v>
      </c>
      <c r="B83" s="1" t="s">
        <v>193</v>
      </c>
      <c r="C83" s="1" t="s">
        <v>423</v>
      </c>
      <c r="D83" s="6">
        <v>976</v>
      </c>
      <c r="E83" s="1" t="s">
        <v>156</v>
      </c>
      <c r="F83" s="2" t="str">
        <f>HYPERLINK("https://www.sciencedirect.com/journal/leukemia-research-reports")</f>
        <v>https://www.sciencedirect.com/journal/leukemia-research-reports</v>
      </c>
      <c r="G83" s="1" t="s">
        <v>424</v>
      </c>
    </row>
    <row r="84" spans="1:7" ht="12.75" customHeight="1" x14ac:dyDescent="0.3">
      <c r="A84" s="1" t="s">
        <v>425</v>
      </c>
      <c r="B84" s="1" t="s">
        <v>426</v>
      </c>
      <c r="C84" s="1" t="s">
        <v>427</v>
      </c>
      <c r="D84" s="6">
        <v>2552</v>
      </c>
      <c r="E84" s="1" t="s">
        <v>156</v>
      </c>
      <c r="F84" s="2" t="str">
        <f>HYPERLINK("https://www.sciencedirect.com/journal/climate-risk-management")</f>
        <v>https://www.sciencedirect.com/journal/climate-risk-management</v>
      </c>
      <c r="G84" s="1" t="s">
        <v>428</v>
      </c>
    </row>
    <row r="85" spans="1:7" ht="12.75" customHeight="1" x14ac:dyDescent="0.3">
      <c r="A85" s="1" t="s">
        <v>429</v>
      </c>
      <c r="B85" s="1" t="s">
        <v>168</v>
      </c>
      <c r="C85" s="1" t="s">
        <v>430</v>
      </c>
      <c r="D85" s="6">
        <v>3448</v>
      </c>
      <c r="E85" s="1" t="s">
        <v>156</v>
      </c>
      <c r="F85" s="2" t="str">
        <f>HYPERLINK("https://www.sciencedirect.com/journal/redox-biology")</f>
        <v>https://www.sciencedirect.com/journal/redox-biology</v>
      </c>
      <c r="G85" s="1" t="s">
        <v>431</v>
      </c>
    </row>
    <row r="86" spans="1:7" ht="12.75" customHeight="1" x14ac:dyDescent="0.3">
      <c r="A86" s="1" t="s">
        <v>27</v>
      </c>
      <c r="B86" s="1" t="s">
        <v>238</v>
      </c>
      <c r="C86" s="1" t="s">
        <v>26</v>
      </c>
      <c r="D86" s="6">
        <v>896</v>
      </c>
      <c r="E86" s="1" t="s">
        <v>158</v>
      </c>
      <c r="F86" s="2" t="str">
        <f>HYPERLINK("https://www.sciencedirect.com/journal/chinese-herbal-medicines")</f>
        <v>https://www.sciencedirect.com/journal/chinese-herbal-medicines</v>
      </c>
      <c r="G86" s="1" t="s">
        <v>432</v>
      </c>
    </row>
    <row r="87" spans="1:7" ht="12.75" customHeight="1" x14ac:dyDescent="0.3">
      <c r="A87" s="1" t="s">
        <v>433</v>
      </c>
      <c r="B87" s="1" t="s">
        <v>216</v>
      </c>
      <c r="C87" s="1" t="s">
        <v>434</v>
      </c>
      <c r="D87" s="6">
        <v>1896</v>
      </c>
      <c r="E87" s="1" t="s">
        <v>158</v>
      </c>
      <c r="F87" s="2" t="str">
        <f>HYPERLINK("https://www.sciencedirect.com/journal/international-journal-for-parasitology-parasites-and-wildlife")</f>
        <v>https://www.sciencedirect.com/journal/international-journal-for-parasitology-parasites-and-wildlife</v>
      </c>
      <c r="G87" s="1" t="s">
        <v>435</v>
      </c>
    </row>
    <row r="88" spans="1:7" ht="12.75" customHeight="1" x14ac:dyDescent="0.3">
      <c r="A88" s="1" t="s">
        <v>436</v>
      </c>
      <c r="B88" s="1" t="s">
        <v>168</v>
      </c>
      <c r="C88" s="1" t="s">
        <v>437</v>
      </c>
      <c r="D88" s="6">
        <v>896</v>
      </c>
      <c r="E88" s="1" t="s">
        <v>158</v>
      </c>
      <c r="F88" s="2" t="str">
        <f>HYPERLINK("https://www.sciencedirect.com/journal/egyptian-journal-of-aquatic-research")</f>
        <v>https://www.sciencedirect.com/journal/egyptian-journal-of-aquatic-research</v>
      </c>
      <c r="G88" s="1" t="s">
        <v>438</v>
      </c>
    </row>
    <row r="89" spans="1:7" ht="12.75" customHeight="1" x14ac:dyDescent="0.3">
      <c r="A89" s="1" t="s">
        <v>31</v>
      </c>
      <c r="B89" s="1" t="s">
        <v>193</v>
      </c>
      <c r="C89" s="1" t="s">
        <v>30</v>
      </c>
      <c r="D89" s="6">
        <v>1648</v>
      </c>
      <c r="E89" s="1" t="s">
        <v>158</v>
      </c>
      <c r="F89" s="2" t="str">
        <f>HYPERLINK("https://www.sciencedirect.com/journal/clinical-epidemiology-and-global-health")</f>
        <v>https://www.sciencedirect.com/journal/clinical-epidemiology-and-global-health</v>
      </c>
      <c r="G89" s="1" t="s">
        <v>439</v>
      </c>
    </row>
    <row r="90" spans="1:7" ht="12.75" customHeight="1" x14ac:dyDescent="0.3">
      <c r="A90" s="1" t="s">
        <v>440</v>
      </c>
      <c r="B90" s="1" t="s">
        <v>441</v>
      </c>
      <c r="C90" s="1" t="s">
        <v>442</v>
      </c>
      <c r="D90" s="6">
        <v>2648</v>
      </c>
      <c r="E90" s="1" t="s">
        <v>156</v>
      </c>
      <c r="F90" s="2" t="str">
        <f>HYPERLINK("https://www.sciencedirect.com/journal/weather-and-climate-extremes")</f>
        <v>https://www.sciencedirect.com/journal/weather-and-climate-extremes</v>
      </c>
      <c r="G90" s="1" t="s">
        <v>443</v>
      </c>
    </row>
    <row r="91" spans="1:7" ht="12.75" customHeight="1" x14ac:dyDescent="0.3">
      <c r="A91" s="1" t="s">
        <v>93</v>
      </c>
      <c r="B91" s="1" t="s">
        <v>193</v>
      </c>
      <c r="C91" s="1" t="s">
        <v>92</v>
      </c>
      <c r="D91" s="6">
        <v>1416</v>
      </c>
      <c r="E91" s="1" t="s">
        <v>158</v>
      </c>
      <c r="F91" s="2" t="str">
        <f>HYPERLINK("https://www.sciencedirect.com/journal/journal-of-global-antimicrobial-resistance")</f>
        <v>https://www.sciencedirect.com/journal/journal-of-global-antimicrobial-resistance</v>
      </c>
      <c r="G91" s="1" t="s">
        <v>445</v>
      </c>
    </row>
    <row r="92" spans="1:7" ht="12.75" customHeight="1" x14ac:dyDescent="0.3">
      <c r="A92" s="1" t="s">
        <v>446</v>
      </c>
      <c r="B92" s="1" t="s">
        <v>447</v>
      </c>
      <c r="C92" s="1" t="s">
        <v>448</v>
      </c>
      <c r="D92" s="6">
        <v>3024</v>
      </c>
      <c r="E92" s="1" t="s">
        <v>156</v>
      </c>
      <c r="F92" s="2" t="str">
        <f>HYPERLINK("https://www.sciencedirect.com/journal/metabolic-engineering-communications")</f>
        <v>https://www.sciencedirect.com/journal/metabolic-engineering-communications</v>
      </c>
      <c r="G92" s="1" t="s">
        <v>449</v>
      </c>
    </row>
    <row r="93" spans="1:7" ht="12.75" customHeight="1" x14ac:dyDescent="0.3">
      <c r="A93" s="1" t="s">
        <v>450</v>
      </c>
      <c r="B93" s="1" t="s">
        <v>166</v>
      </c>
      <c r="C93" s="1" t="s">
        <v>451</v>
      </c>
      <c r="D93" s="6">
        <v>1216</v>
      </c>
      <c r="E93" s="1" t="s">
        <v>156</v>
      </c>
      <c r="F93" s="2" t="str">
        <f>HYPERLINK("https://www.sciencedirect.com/journal/ampersand")</f>
        <v>https://www.sciencedirect.com/journal/ampersand</v>
      </c>
      <c r="G93" s="1" t="s">
        <v>452</v>
      </c>
    </row>
    <row r="94" spans="1:7" ht="12.75" customHeight="1" x14ac:dyDescent="0.3">
      <c r="A94" s="1" t="s">
        <v>453</v>
      </c>
      <c r="B94" s="1" t="s">
        <v>193</v>
      </c>
      <c r="C94" s="1" t="s">
        <v>454</v>
      </c>
      <c r="D94" s="6">
        <v>2488</v>
      </c>
      <c r="E94" s="1" t="s">
        <v>156</v>
      </c>
      <c r="F94" s="2" t="str">
        <f>HYPERLINK("https://www.sciencedirect.com/journal/journal-of-bone-oncology")</f>
        <v>https://www.sciencedirect.com/journal/journal-of-bone-oncology</v>
      </c>
      <c r="G94" s="1" t="s">
        <v>455</v>
      </c>
    </row>
    <row r="95" spans="1:7" ht="12.75" customHeight="1" x14ac:dyDescent="0.3">
      <c r="A95" s="1" t="s">
        <v>456</v>
      </c>
      <c r="B95" s="1" t="s">
        <v>193</v>
      </c>
      <c r="C95" s="1" t="s">
        <v>457</v>
      </c>
      <c r="D95" s="6">
        <v>3344</v>
      </c>
      <c r="E95" s="1" t="s">
        <v>156</v>
      </c>
      <c r="F95" s="2" t="str">
        <f>HYPERLINK("https://www.sciencedirect.com/journal/molecular-metabolism")</f>
        <v>https://www.sciencedirect.com/journal/molecular-metabolism</v>
      </c>
      <c r="G95" s="1" t="s">
        <v>458</v>
      </c>
    </row>
    <row r="96" spans="1:7" ht="12.75" customHeight="1" x14ac:dyDescent="0.3">
      <c r="A96" s="1" t="s">
        <v>459</v>
      </c>
      <c r="B96" s="1" t="s">
        <v>314</v>
      </c>
      <c r="C96" s="1" t="s">
        <v>460</v>
      </c>
      <c r="D96" s="6">
        <v>2592</v>
      </c>
      <c r="E96" s="1" t="s">
        <v>156</v>
      </c>
      <c r="F96" s="2" t="str">
        <f>HYPERLINK("https://www.sciencedirect.com/journal/photoacoustics")</f>
        <v>https://www.sciencedirect.com/journal/photoacoustics</v>
      </c>
      <c r="G96" s="1" t="s">
        <v>461</v>
      </c>
    </row>
    <row r="97" spans="1:7" ht="12.75" customHeight="1" x14ac:dyDescent="0.3">
      <c r="A97" s="1" t="s">
        <v>462</v>
      </c>
      <c r="B97" s="1" t="s">
        <v>193</v>
      </c>
      <c r="C97" s="1" t="s">
        <v>463</v>
      </c>
      <c r="D97" s="6">
        <v>1256</v>
      </c>
      <c r="E97" s="1" t="s">
        <v>156</v>
      </c>
      <c r="F97" s="2" t="str">
        <f>HYPERLINK("https://www.sciencedirect.com/journal/translational-research-in-anatomy")</f>
        <v>https://www.sciencedirect.com/journal/translational-research-in-anatomy</v>
      </c>
      <c r="G97" s="1" t="s">
        <v>464</v>
      </c>
    </row>
    <row r="98" spans="1:7" ht="12.75" customHeight="1" x14ac:dyDescent="0.3">
      <c r="A98" s="1" t="s">
        <v>465</v>
      </c>
      <c r="B98" s="1" t="s">
        <v>466</v>
      </c>
      <c r="C98" s="1" t="s">
        <v>467</v>
      </c>
      <c r="D98" s="6">
        <v>2544</v>
      </c>
      <c r="E98" s="1" t="s">
        <v>158</v>
      </c>
      <c r="F98" s="2" t="str">
        <f>HYPERLINK("https://www.sciencedirect.com/journal/nfs-journal")</f>
        <v>https://www.sciencedirect.com/journal/nfs-journal</v>
      </c>
      <c r="G98" s="1" t="s">
        <v>468</v>
      </c>
    </row>
    <row r="99" spans="1:7" ht="12.75" customHeight="1" x14ac:dyDescent="0.3">
      <c r="A99" s="1" t="s">
        <v>13</v>
      </c>
      <c r="B99" s="1" t="s">
        <v>168</v>
      </c>
      <c r="C99" s="1" t="s">
        <v>12</v>
      </c>
      <c r="D99" s="6">
        <v>2536</v>
      </c>
      <c r="E99" s="1" t="s">
        <v>156</v>
      </c>
      <c r="F99" s="2" t="str">
        <f>HYPERLINK("https://www.sciencedirect.com/journal/biological-control")</f>
        <v>https://www.sciencedirect.com/journal/biological-control</v>
      </c>
      <c r="G99" s="1" t="s">
        <v>469</v>
      </c>
    </row>
    <row r="100" spans="1:7" ht="12.75" customHeight="1" x14ac:dyDescent="0.3">
      <c r="A100" s="1" t="s">
        <v>45</v>
      </c>
      <c r="B100" s="1" t="s">
        <v>185</v>
      </c>
      <c r="C100" s="1" t="s">
        <v>44</v>
      </c>
      <c r="D100" s="6">
        <v>2664</v>
      </c>
      <c r="E100" s="1" t="s">
        <v>156</v>
      </c>
      <c r="F100" s="2" t="str">
        <f>HYPERLINK("https://www.sciencedirect.com/journal/ecotoxicology-and-environmental-safety")</f>
        <v>https://www.sciencedirect.com/journal/ecotoxicology-and-environmental-safety</v>
      </c>
      <c r="G100" s="1" t="s">
        <v>470</v>
      </c>
    </row>
    <row r="101" spans="1:7" ht="12.75" customHeight="1" x14ac:dyDescent="0.3">
      <c r="A101" s="1" t="s">
        <v>65</v>
      </c>
      <c r="B101" s="1" t="s">
        <v>251</v>
      </c>
      <c r="C101" s="1" t="s">
        <v>64</v>
      </c>
      <c r="D101" s="6">
        <v>2344</v>
      </c>
      <c r="E101" s="1" t="s">
        <v>156</v>
      </c>
      <c r="F101" s="2" t="str">
        <f>HYPERLINK("https://www.sciencedirect.com/journal/experimental-and-molecular-pathology")</f>
        <v>https://www.sciencedirect.com/journal/experimental-and-molecular-pathology</v>
      </c>
      <c r="G101" s="1" t="s">
        <v>471</v>
      </c>
    </row>
    <row r="102" spans="1:7" ht="12.75" customHeight="1" x14ac:dyDescent="0.3">
      <c r="A102" s="1" t="s">
        <v>69</v>
      </c>
      <c r="B102" s="1" t="s">
        <v>107</v>
      </c>
      <c r="C102" s="1" t="s">
        <v>68</v>
      </c>
      <c r="D102" s="6">
        <v>2536</v>
      </c>
      <c r="E102" s="1" t="s">
        <v>156</v>
      </c>
      <c r="F102" s="2" t="str">
        <f>HYPERLINK("https://www.sciencedirect.com/journal/genomics")</f>
        <v>https://www.sciencedirect.com/journal/genomics</v>
      </c>
      <c r="G102" s="1" t="s">
        <v>472</v>
      </c>
    </row>
    <row r="103" spans="1:7" ht="12.75" customHeight="1" x14ac:dyDescent="0.3">
      <c r="A103" s="1" t="s">
        <v>73</v>
      </c>
      <c r="B103" s="1" t="s">
        <v>275</v>
      </c>
      <c r="C103" s="1" t="s">
        <v>72</v>
      </c>
      <c r="D103" s="6">
        <v>1704</v>
      </c>
      <c r="E103" s="1" t="s">
        <v>156</v>
      </c>
      <c r="F103" s="2" t="str">
        <f>HYPERLINK("https://www.sciencedirect.com/journal/graphical-models")</f>
        <v>https://www.sciencedirect.com/journal/graphical-models</v>
      </c>
      <c r="G103" s="1" t="s">
        <v>473</v>
      </c>
    </row>
    <row r="104" spans="1:7" ht="12.75" customHeight="1" x14ac:dyDescent="0.3">
      <c r="A104" s="1" t="s">
        <v>117</v>
      </c>
      <c r="B104" s="1" t="s">
        <v>202</v>
      </c>
      <c r="C104" s="1" t="s">
        <v>116</v>
      </c>
      <c r="D104" s="6">
        <v>2976</v>
      </c>
      <c r="E104" s="1" t="s">
        <v>156</v>
      </c>
      <c r="F104" s="2" t="str">
        <f>HYPERLINK("https://www.sciencedirect.com/journal/neurobiology-of-disease")</f>
        <v>https://www.sciencedirect.com/journal/neurobiology-of-disease</v>
      </c>
      <c r="G104" s="1" t="s">
        <v>474</v>
      </c>
    </row>
    <row r="105" spans="1:7" ht="12.75" customHeight="1" x14ac:dyDescent="0.3">
      <c r="A105" s="1" t="s">
        <v>119</v>
      </c>
      <c r="B105" s="1" t="s">
        <v>202</v>
      </c>
      <c r="C105" s="1" t="s">
        <v>118</v>
      </c>
      <c r="D105" s="6">
        <v>2648</v>
      </c>
      <c r="E105" s="1" t="s">
        <v>156</v>
      </c>
      <c r="F105" s="2" t="str">
        <f>HYPERLINK("https://www.sciencedirect.com/journal/neuroimage")</f>
        <v>https://www.sciencedirect.com/journal/neuroimage</v>
      </c>
      <c r="G105" s="1" t="s">
        <v>475</v>
      </c>
    </row>
    <row r="106" spans="1:7" ht="12.75" customHeight="1" x14ac:dyDescent="0.3">
      <c r="A106" s="1" t="s">
        <v>476</v>
      </c>
      <c r="B106" s="1" t="s">
        <v>107</v>
      </c>
      <c r="C106" s="1" t="s">
        <v>477</v>
      </c>
      <c r="D106" s="6">
        <v>3298</v>
      </c>
      <c r="E106" s="1" t="s">
        <v>158</v>
      </c>
      <c r="F106" s="2" t="str">
        <f>HYPERLINK("https://www.sciencedirect.com/journal/stem-cell-reports")</f>
        <v>https://www.sciencedirect.com/journal/stem-cell-reports</v>
      </c>
      <c r="G106" s="1" t="s">
        <v>478</v>
      </c>
    </row>
    <row r="107" spans="1:7" ht="12.75" customHeight="1" x14ac:dyDescent="0.3">
      <c r="A107" s="1" t="s">
        <v>109</v>
      </c>
      <c r="B107" s="1" t="s">
        <v>168</v>
      </c>
      <c r="C107" s="1" t="s">
        <v>108</v>
      </c>
      <c r="D107" s="6">
        <v>2424</v>
      </c>
      <c r="E107" s="1" t="s">
        <v>156</v>
      </c>
      <c r="F107" s="2" t="str">
        <f>HYPERLINK("https://www.sciencedirect.com/journal/lwt")</f>
        <v>https://www.sciencedirect.com/journal/lwt</v>
      </c>
      <c r="G107" s="1" t="s">
        <v>479</v>
      </c>
    </row>
    <row r="108" spans="1:7" ht="12.75" customHeight="1" x14ac:dyDescent="0.3">
      <c r="A108" s="1" t="s">
        <v>95</v>
      </c>
      <c r="B108" s="1" t="s">
        <v>232</v>
      </c>
      <c r="C108" s="1" t="s">
        <v>94</v>
      </c>
      <c r="D108" s="6">
        <v>3016</v>
      </c>
      <c r="E108" s="1" t="s">
        <v>158</v>
      </c>
      <c r="F108" s="2" t="str">
        <f>HYPERLINK("https://www.sciencedirect.com/journal/journal-of-infection")</f>
        <v>https://www.sciencedirect.com/journal/journal-of-infection</v>
      </c>
      <c r="G108" s="1" t="s">
        <v>480</v>
      </c>
    </row>
    <row r="109" spans="1:7" ht="12.75" customHeight="1" x14ac:dyDescent="0.3">
      <c r="A109" s="1" t="s">
        <v>115</v>
      </c>
      <c r="B109" s="1" t="s">
        <v>251</v>
      </c>
      <c r="C109" s="1" t="s">
        <v>114</v>
      </c>
      <c r="D109" s="6">
        <v>2184</v>
      </c>
      <c r="E109" s="1" t="s">
        <v>156</v>
      </c>
      <c r="F109" s="2" t="str">
        <f>HYPERLINK("https://www.sciencedirect.com/journal/molecular-and-cellular-probes")</f>
        <v>https://www.sciencedirect.com/journal/molecular-and-cellular-probes</v>
      </c>
      <c r="G109" s="1" t="s">
        <v>481</v>
      </c>
    </row>
    <row r="110" spans="1:7" ht="12.75" customHeight="1" x14ac:dyDescent="0.3">
      <c r="A110" s="1" t="s">
        <v>127</v>
      </c>
      <c r="B110" s="1" t="s">
        <v>310</v>
      </c>
      <c r="C110" s="1" t="s">
        <v>126</v>
      </c>
      <c r="D110" s="6">
        <v>3304</v>
      </c>
      <c r="E110" s="1" t="s">
        <v>156</v>
      </c>
      <c r="F110" s="2" t="str">
        <f>HYPERLINK("https://www.sciencedirect.com/journal/pharmacological-research")</f>
        <v>https://www.sciencedirect.com/journal/pharmacological-research</v>
      </c>
      <c r="G110" s="1" t="s">
        <v>482</v>
      </c>
    </row>
    <row r="111" spans="1:7" ht="12.75" customHeight="1" x14ac:dyDescent="0.3">
      <c r="A111" s="1" t="s">
        <v>21</v>
      </c>
      <c r="B111" s="1" t="s">
        <v>222</v>
      </c>
      <c r="C111" s="1" t="s">
        <v>20</v>
      </c>
      <c r="D111" s="6">
        <v>2632</v>
      </c>
      <c r="E111" s="1" t="s">
        <v>156</v>
      </c>
      <c r="F111" s="2" t="str">
        <f>HYPERLINK("https://www.sciencedirect.com/journal/the-breast")</f>
        <v>https://www.sciencedirect.com/journal/the-breast</v>
      </c>
      <c r="G111" s="1" t="s">
        <v>484</v>
      </c>
    </row>
    <row r="112" spans="1:7" ht="12.75" customHeight="1" x14ac:dyDescent="0.3">
      <c r="A112" s="1" t="s">
        <v>35</v>
      </c>
      <c r="B112" s="1" t="s">
        <v>222</v>
      </c>
      <c r="C112" s="1" t="s">
        <v>34</v>
      </c>
      <c r="D112" s="6">
        <v>2376</v>
      </c>
      <c r="E112" s="1" t="s">
        <v>156</v>
      </c>
      <c r="F112" s="2" t="str">
        <f>HYPERLINK("https://www.sciencedirect.com/journal/complementary-therapies-in-medicine")</f>
        <v>https://www.sciencedirect.com/journal/complementary-therapies-in-medicine</v>
      </c>
      <c r="G112" s="1" t="s">
        <v>485</v>
      </c>
    </row>
    <row r="113" spans="1:7" ht="12.75" customHeight="1" x14ac:dyDescent="0.3">
      <c r="A113" s="1" t="s">
        <v>89</v>
      </c>
      <c r="B113" s="1" t="s">
        <v>213</v>
      </c>
      <c r="C113" s="1" t="s">
        <v>88</v>
      </c>
      <c r="D113" s="6">
        <v>2768</v>
      </c>
      <c r="E113" s="1" t="s">
        <v>156</v>
      </c>
      <c r="F113" s="2" t="str">
        <f>HYPERLINK("https://www.sciencedirect.com/journal/journal-of-co2-utilization")</f>
        <v>https://www.sciencedirect.com/journal/journal-of-co2-utilization</v>
      </c>
      <c r="G113" s="1" t="s">
        <v>486</v>
      </c>
    </row>
    <row r="114" spans="1:7" ht="12.75" customHeight="1" x14ac:dyDescent="0.3">
      <c r="A114" s="1" t="s">
        <v>487</v>
      </c>
      <c r="B114" s="1" t="s">
        <v>222</v>
      </c>
      <c r="C114" s="1" t="s">
        <v>488</v>
      </c>
      <c r="D114" s="6">
        <v>1568</v>
      </c>
      <c r="E114" s="1" t="s">
        <v>158</v>
      </c>
      <c r="F114" s="2" t="str">
        <f>HYPERLINK("https://www.sciencedirect.com/journal/international-journal-of-surgery-case-reports")</f>
        <v>https://www.sciencedirect.com/journal/international-journal-of-surgery-case-reports</v>
      </c>
      <c r="G114" s="1" t="s">
        <v>489</v>
      </c>
    </row>
    <row r="115" spans="1:7" ht="12.75" customHeight="1" x14ac:dyDescent="0.3">
      <c r="A115" s="1" t="s">
        <v>49</v>
      </c>
      <c r="B115" s="1" t="s">
        <v>490</v>
      </c>
      <c r="C115" s="1" t="s">
        <v>48</v>
      </c>
      <c r="D115" s="6">
        <v>2984</v>
      </c>
      <c r="E115" s="1" t="s">
        <v>156</v>
      </c>
      <c r="F115" s="2" t="str">
        <f>HYPERLINK("https://www.sciencedirect.com/journal/energy-strategy-reviews")</f>
        <v>https://www.sciencedirect.com/journal/energy-strategy-reviews</v>
      </c>
      <c r="G115" s="1" t="s">
        <v>491</v>
      </c>
    </row>
    <row r="116" spans="1:7" ht="12.75" customHeight="1" x14ac:dyDescent="0.3">
      <c r="A116" s="1" t="s">
        <v>492</v>
      </c>
      <c r="B116" s="1" t="s">
        <v>216</v>
      </c>
      <c r="C116" s="1" t="s">
        <v>493</v>
      </c>
      <c r="D116" s="6">
        <v>2320</v>
      </c>
      <c r="E116" s="1" t="s">
        <v>158</v>
      </c>
      <c r="F116" s="2" t="str">
        <f>HYPERLINK("https://www.sciencedirect.com/journal/international-journal-for-parasitology-drugs-and-drug-resistance")</f>
        <v>https://www.sciencedirect.com/journal/international-journal-for-parasitology-drugs-and-drug-resistance</v>
      </c>
      <c r="G116" s="1" t="s">
        <v>494</v>
      </c>
    </row>
    <row r="117" spans="1:7" ht="12.75" customHeight="1" x14ac:dyDescent="0.3">
      <c r="A117" s="1" t="s">
        <v>495</v>
      </c>
      <c r="B117" s="1" t="s">
        <v>222</v>
      </c>
      <c r="C117" s="1" t="s">
        <v>496</v>
      </c>
      <c r="D117" s="6">
        <v>1528</v>
      </c>
      <c r="E117" s="1" t="s">
        <v>158</v>
      </c>
      <c r="F117" s="2" t="str">
        <f>HYPERLINK("https://www.sciencedirect.com/journal/ejves-vascular-forum")</f>
        <v>https://www.sciencedirect.com/journal/ejves-vascular-forum</v>
      </c>
      <c r="G117" s="1" t="s">
        <v>497</v>
      </c>
    </row>
    <row r="118" spans="1:7" ht="12.75" customHeight="1" x14ac:dyDescent="0.3">
      <c r="A118" s="1" t="s">
        <v>498</v>
      </c>
      <c r="B118" s="1" t="s">
        <v>202</v>
      </c>
      <c r="C118" s="1" t="s">
        <v>499</v>
      </c>
      <c r="D118" s="6">
        <v>2376</v>
      </c>
      <c r="E118" s="1" t="s">
        <v>156</v>
      </c>
      <c r="F118" s="2" t="str">
        <f>HYPERLINK("https://www.sciencedirect.com/journal/eneurologicalsci")</f>
        <v>https://www.sciencedirect.com/journal/eneurologicalsci</v>
      </c>
      <c r="G118" s="1" t="s">
        <v>500</v>
      </c>
    </row>
    <row r="119" spans="1:7" ht="12.75" customHeight="1" x14ac:dyDescent="0.3">
      <c r="A119" s="1" t="s">
        <v>7</v>
      </c>
      <c r="B119" s="1" t="s">
        <v>222</v>
      </c>
      <c r="C119" s="1" t="s">
        <v>6</v>
      </c>
      <c r="D119" s="6">
        <v>1728</v>
      </c>
      <c r="E119" s="1" t="s">
        <v>156</v>
      </c>
      <c r="F119" s="2" t="str">
        <f>HYPERLINK("https://www.sciencedirect.com/journal/american-journal-of-otolaryngology")</f>
        <v>https://www.sciencedirect.com/journal/american-journal-of-otolaryngology</v>
      </c>
      <c r="G119" s="1" t="s">
        <v>501</v>
      </c>
    </row>
    <row r="120" spans="1:7" ht="12.75" customHeight="1" x14ac:dyDescent="0.3">
      <c r="A120" s="1" t="s">
        <v>39</v>
      </c>
      <c r="B120" s="1" t="s">
        <v>222</v>
      </c>
      <c r="C120" s="1" t="s">
        <v>38</v>
      </c>
      <c r="D120" s="6">
        <v>2080</v>
      </c>
      <c r="E120" s="1" t="s">
        <v>156</v>
      </c>
      <c r="F120" s="2" t="str">
        <f>HYPERLINK("https://www.sciencedirect.com/journal/current-problems-in-surgery")</f>
        <v>https://www.sciencedirect.com/journal/current-problems-in-surgery</v>
      </c>
      <c r="G120" s="1" t="s">
        <v>502</v>
      </c>
    </row>
    <row r="121" spans="1:7" ht="12.75" customHeight="1" x14ac:dyDescent="0.3">
      <c r="A121" s="1" t="s">
        <v>37</v>
      </c>
      <c r="B121" s="1" t="s">
        <v>503</v>
      </c>
      <c r="C121" s="1" t="s">
        <v>36</v>
      </c>
      <c r="D121" s="6">
        <v>2688</v>
      </c>
      <c r="E121" s="1" t="s">
        <v>156</v>
      </c>
      <c r="F121" s="2" t="str">
        <f>HYPERLINK("https://www.sciencedirect.com/journal/comprehensive-psychiatry")</f>
        <v>https://www.sciencedirect.com/journal/comprehensive-psychiatry</v>
      </c>
      <c r="G121" s="1" t="s">
        <v>504</v>
      </c>
    </row>
    <row r="122" spans="1:7" ht="12.75" customHeight="1" x14ac:dyDescent="0.3">
      <c r="A122" s="1" t="s">
        <v>506</v>
      </c>
      <c r="B122" s="1" t="s">
        <v>222</v>
      </c>
      <c r="C122" s="1" t="s">
        <v>100</v>
      </c>
      <c r="D122" s="6">
        <v>1624</v>
      </c>
      <c r="E122" s="1" t="s">
        <v>156</v>
      </c>
      <c r="F122" s="2" t="str">
        <f>HYPERLINK("https://www.sciencedirect.com/journal/journal-of-stroke-and-cerebrovascular-diseases")</f>
        <v>https://www.sciencedirect.com/journal/journal-of-stroke-and-cerebrovascular-diseases</v>
      </c>
      <c r="G122" s="1" t="s">
        <v>507</v>
      </c>
    </row>
    <row r="123" spans="1:7" ht="12.75" customHeight="1" x14ac:dyDescent="0.3">
      <c r="A123" s="1" t="s">
        <v>508</v>
      </c>
      <c r="B123" s="1" t="s">
        <v>261</v>
      </c>
      <c r="C123" s="1" t="s">
        <v>509</v>
      </c>
      <c r="D123" s="6">
        <v>2616</v>
      </c>
      <c r="E123" s="1" t="s">
        <v>505</v>
      </c>
      <c r="F123" s="2" t="str">
        <f>HYPERLINK("https://www.sciencedirect.com/journal/journal-of-dairy-science")</f>
        <v>https://www.sciencedirect.com/journal/journal-of-dairy-science</v>
      </c>
      <c r="G123" s="1" t="s">
        <v>510</v>
      </c>
    </row>
    <row r="124" spans="1:7" ht="12.75" customHeight="1" x14ac:dyDescent="0.3">
      <c r="A124" s="1" t="s">
        <v>511</v>
      </c>
      <c r="B124" s="1" t="s">
        <v>202</v>
      </c>
      <c r="C124" s="1" t="s">
        <v>512</v>
      </c>
      <c r="D124" s="6">
        <v>2608</v>
      </c>
      <c r="E124" s="1" t="s">
        <v>156</v>
      </c>
      <c r="F124" s="2" t="str">
        <f>HYPERLINK("https://www.sciencedirect.com/journal/neuroimage-clinical")</f>
        <v>https://www.sciencedirect.com/journal/neuroimage-clinical</v>
      </c>
      <c r="G124" s="1" t="s">
        <v>513</v>
      </c>
    </row>
    <row r="125" spans="1:7" ht="12.75" customHeight="1" x14ac:dyDescent="0.3">
      <c r="A125" s="1" t="s">
        <v>514</v>
      </c>
      <c r="B125" s="1" t="s">
        <v>258</v>
      </c>
      <c r="C125" s="1" t="s">
        <v>515</v>
      </c>
      <c r="D125" s="6">
        <v>2000</v>
      </c>
      <c r="E125" s="1" t="s">
        <v>156</v>
      </c>
      <c r="F125" s="2" t="str">
        <f>HYPERLINK("https://www.sciencedirect.com/journal/toxicology-reports")</f>
        <v>https://www.sciencedirect.com/journal/toxicology-reports</v>
      </c>
      <c r="G125" s="1" t="s">
        <v>516</v>
      </c>
    </row>
    <row r="126" spans="1:7" ht="12.75" customHeight="1" x14ac:dyDescent="0.3">
      <c r="A126" s="1" t="s">
        <v>517</v>
      </c>
      <c r="B126" s="1" t="s">
        <v>193</v>
      </c>
      <c r="C126" s="1" t="s">
        <v>518</v>
      </c>
      <c r="D126" s="6">
        <v>2616</v>
      </c>
      <c r="E126" s="1" t="s">
        <v>156</v>
      </c>
      <c r="F126" s="2" t="str">
        <f>HYPERLINK("https://www.sciencedirect.com/journal/journal-of-clinical-and-translational-endocrinology")</f>
        <v>https://www.sciencedirect.com/journal/journal-of-clinical-and-translational-endocrinology</v>
      </c>
      <c r="G126" s="1" t="s">
        <v>519</v>
      </c>
    </row>
    <row r="127" spans="1:7" ht="12.75" customHeight="1" x14ac:dyDescent="0.3">
      <c r="A127" s="1" t="s">
        <v>520</v>
      </c>
      <c r="B127" s="1" t="s">
        <v>255</v>
      </c>
      <c r="C127" s="1" t="s">
        <v>521</v>
      </c>
      <c r="D127" s="6">
        <v>2920</v>
      </c>
      <c r="E127" s="1" t="s">
        <v>158</v>
      </c>
      <c r="F127" s="2" t="str">
        <f>HYPERLINK("https://www.sciencedirect.com/journal/neurotherapeutics")</f>
        <v>https://www.sciencedirect.com/journal/neurotherapeutics</v>
      </c>
      <c r="G127" s="1" t="s">
        <v>522</v>
      </c>
    </row>
    <row r="128" spans="1:7" ht="12.75" customHeight="1" x14ac:dyDescent="0.3">
      <c r="A128" s="1" t="s">
        <v>523</v>
      </c>
      <c r="B128" s="1" t="s">
        <v>222</v>
      </c>
      <c r="C128" s="1" t="s">
        <v>524</v>
      </c>
      <c r="D128" s="6">
        <v>2152</v>
      </c>
      <c r="E128" s="1" t="s">
        <v>156</v>
      </c>
      <c r="F128" s="2" t="str">
        <f>HYPERLINK("https://www.sciencedirect.com/journal/preventive-medicine-reports")</f>
        <v>https://www.sciencedirect.com/journal/preventive-medicine-reports</v>
      </c>
      <c r="G128" s="1" t="s">
        <v>525</v>
      </c>
    </row>
    <row r="129" spans="1:7" ht="12.75" customHeight="1" x14ac:dyDescent="0.3">
      <c r="A129" s="1" t="s">
        <v>526</v>
      </c>
      <c r="B129" s="1" t="s">
        <v>222</v>
      </c>
      <c r="C129" s="1" t="s">
        <v>527</v>
      </c>
      <c r="D129" s="6">
        <v>736</v>
      </c>
      <c r="E129" s="1" t="s">
        <v>156</v>
      </c>
      <c r="F129" s="2" t="str">
        <f>HYPERLINK("https://www.sciencedirect.com/journal/gynecologic-oncology-reports")</f>
        <v>https://www.sciencedirect.com/journal/gynecologic-oncology-reports</v>
      </c>
      <c r="G129" s="1" t="s">
        <v>528</v>
      </c>
    </row>
    <row r="130" spans="1:7" ht="12.75" customHeight="1" x14ac:dyDescent="0.3">
      <c r="A130" s="1" t="s">
        <v>529</v>
      </c>
      <c r="B130" s="1" t="s">
        <v>202</v>
      </c>
      <c r="C130" s="1" t="s">
        <v>530</v>
      </c>
      <c r="D130" s="6">
        <v>2208</v>
      </c>
      <c r="E130" s="1" t="s">
        <v>156</v>
      </c>
      <c r="F130" s="2" t="str">
        <f>HYPERLINK("https://www.sciencedirect.com/journal/epilepsy-and-behavior-reports")</f>
        <v>https://www.sciencedirect.com/journal/epilepsy-and-behavior-reports</v>
      </c>
      <c r="G130" s="1" t="s">
        <v>531</v>
      </c>
    </row>
    <row r="131" spans="1:7" ht="12.75" customHeight="1" x14ac:dyDescent="0.3">
      <c r="A131" s="1" t="s">
        <v>532</v>
      </c>
      <c r="B131" s="1" t="s">
        <v>107</v>
      </c>
      <c r="C131" s="1" t="s">
        <v>533</v>
      </c>
      <c r="D131" s="6">
        <v>4428.5</v>
      </c>
      <c r="E131" s="1" t="s">
        <v>156</v>
      </c>
      <c r="F131" s="2" t="str">
        <f>HYPERLINK("https://www.sciencedirect.com/journal/cell-reports")</f>
        <v>https://www.sciencedirect.com/journal/cell-reports</v>
      </c>
      <c r="G131" s="1" t="s">
        <v>534</v>
      </c>
    </row>
    <row r="132" spans="1:7" ht="12.75" customHeight="1" x14ac:dyDescent="0.3">
      <c r="A132" s="1" t="s">
        <v>143</v>
      </c>
      <c r="B132" s="1" t="s">
        <v>234</v>
      </c>
      <c r="C132" s="1" t="s">
        <v>142</v>
      </c>
      <c r="D132" s="6">
        <v>2280</v>
      </c>
      <c r="E132" s="1" t="s">
        <v>158</v>
      </c>
      <c r="F132" s="2" t="str">
        <f>HYPERLINK("https://www.sciencedirect.com/journal/value-in-health-regional-issues")</f>
        <v>https://www.sciencedirect.com/journal/value-in-health-regional-issues</v>
      </c>
      <c r="G132" s="1" t="s">
        <v>535</v>
      </c>
    </row>
    <row r="133" spans="1:7" ht="12.75" customHeight="1" x14ac:dyDescent="0.3">
      <c r="A133" s="1" t="s">
        <v>536</v>
      </c>
      <c r="B133" s="1" t="s">
        <v>250</v>
      </c>
      <c r="C133" s="1" t="s">
        <v>537</v>
      </c>
      <c r="D133" s="6">
        <v>728</v>
      </c>
      <c r="E133" s="1" t="s">
        <v>158</v>
      </c>
      <c r="F133" s="2" t="str">
        <f>HYPERLINK("https://www.sciencedirect.com/journal/arthroscopy-techniques")</f>
        <v>https://www.sciencedirect.com/journal/arthroscopy-techniques</v>
      </c>
      <c r="G133" s="1" t="s">
        <v>538</v>
      </c>
    </row>
    <row r="134" spans="1:7" ht="12.75" customHeight="1" x14ac:dyDescent="0.3">
      <c r="A134" s="1" t="s">
        <v>104</v>
      </c>
      <c r="B134" s="1" t="s">
        <v>229</v>
      </c>
      <c r="C134" s="1" t="s">
        <v>103</v>
      </c>
      <c r="D134" s="6">
        <v>1800</v>
      </c>
      <c r="E134" s="1" t="s">
        <v>158</v>
      </c>
      <c r="F134" s="2" t="str">
        <f>HYPERLINK("https://www.sciencedirect.com/journal/journal-of-vascular-surgery-venous-and-lymphatic-disorders")</f>
        <v>https://www.sciencedirect.com/journal/journal-of-vascular-surgery-venous-and-lymphatic-disorders</v>
      </c>
      <c r="G134" s="1" t="s">
        <v>540</v>
      </c>
    </row>
    <row r="135" spans="1:7" ht="12.75" customHeight="1" x14ac:dyDescent="0.3">
      <c r="A135" s="1" t="s">
        <v>541</v>
      </c>
      <c r="B135" s="1" t="s">
        <v>222</v>
      </c>
      <c r="C135" s="1" t="s">
        <v>542</v>
      </c>
      <c r="D135" s="6">
        <v>1016</v>
      </c>
      <c r="E135" s="1" t="s">
        <v>156</v>
      </c>
      <c r="F135" s="2" t="str">
        <f>HYPERLINK("https://www.sciencedirect.com/journal/journal-of-pediatric-surgery-case-reports")</f>
        <v>https://www.sciencedirect.com/journal/journal-of-pediatric-surgery-case-reports</v>
      </c>
      <c r="G135" s="1" t="s">
        <v>543</v>
      </c>
    </row>
    <row r="136" spans="1:7" ht="12.75" customHeight="1" x14ac:dyDescent="0.3">
      <c r="A136" s="1" t="s">
        <v>544</v>
      </c>
      <c r="B136" s="1" t="s">
        <v>222</v>
      </c>
      <c r="C136" s="1" t="s">
        <v>545</v>
      </c>
      <c r="D136" s="6">
        <v>824</v>
      </c>
      <c r="E136" s="1" t="s">
        <v>158</v>
      </c>
      <c r="F136" s="2" t="str">
        <f>HYPERLINK("https://www.sciencedirect.com/journal/heartrhythm-case-reports")</f>
        <v>https://www.sciencedirect.com/journal/heartrhythm-case-reports</v>
      </c>
      <c r="G136" s="1" t="s">
        <v>546</v>
      </c>
    </row>
    <row r="137" spans="1:7" ht="12.75" customHeight="1" x14ac:dyDescent="0.3">
      <c r="A137" s="1" t="s">
        <v>547</v>
      </c>
      <c r="B137" s="1" t="s">
        <v>107</v>
      </c>
      <c r="C137" s="1" t="s">
        <v>548</v>
      </c>
      <c r="D137" s="6">
        <v>1920</v>
      </c>
      <c r="E137" s="1" t="s">
        <v>156</v>
      </c>
      <c r="F137" s="2" t="str">
        <f>HYPERLINK("https://www.sciencedirect.com/journal/molecular-genetics-and-metabolism-reports")</f>
        <v>https://www.sciencedirect.com/journal/molecular-genetics-and-metabolism-reports</v>
      </c>
      <c r="G137" s="1" t="s">
        <v>549</v>
      </c>
    </row>
    <row r="138" spans="1:7" ht="12.75" customHeight="1" x14ac:dyDescent="0.3">
      <c r="A138" s="1" t="s">
        <v>550</v>
      </c>
      <c r="B138" s="1" t="s">
        <v>222</v>
      </c>
      <c r="C138" s="1" t="s">
        <v>551</v>
      </c>
      <c r="D138" s="6">
        <v>992</v>
      </c>
      <c r="E138" s="1" t="s">
        <v>156</v>
      </c>
      <c r="F138" s="2" t="str">
        <f>HYPERLINK("https://www.sciencedirect.com/journal/human-pathology-reports")</f>
        <v>https://www.sciencedirect.com/journal/human-pathology-reports</v>
      </c>
      <c r="G138" s="1" t="s">
        <v>552</v>
      </c>
    </row>
    <row r="139" spans="1:7" ht="12.75" customHeight="1" x14ac:dyDescent="0.3">
      <c r="A139" s="1" t="s">
        <v>553</v>
      </c>
      <c r="B139" s="1" t="s">
        <v>222</v>
      </c>
      <c r="C139" s="1" t="s">
        <v>554</v>
      </c>
      <c r="D139" s="6">
        <v>1040</v>
      </c>
      <c r="E139" s="1" t="s">
        <v>156</v>
      </c>
      <c r="F139" s="2" t="str">
        <f>HYPERLINK("https://www.sciencedirect.com/journal/urology-case-reports")</f>
        <v>https://www.sciencedirect.com/journal/urology-case-reports</v>
      </c>
      <c r="G139" s="1" t="s">
        <v>555</v>
      </c>
    </row>
    <row r="140" spans="1:7" ht="12.75" customHeight="1" x14ac:dyDescent="0.3">
      <c r="A140" s="1" t="s">
        <v>556</v>
      </c>
      <c r="B140" s="1" t="s">
        <v>163</v>
      </c>
      <c r="C140" s="1" t="s">
        <v>557</v>
      </c>
      <c r="D140" s="6">
        <v>1048</v>
      </c>
      <c r="E140" s="1" t="s">
        <v>156</v>
      </c>
      <c r="F140" s="2" t="str">
        <f>HYPERLINK("https://www.sciencedirect.com/journal/oral-and-maxillofacial-surgery-cases")</f>
        <v>https://www.sciencedirect.com/journal/oral-and-maxillofacial-surgery-cases</v>
      </c>
      <c r="G140" s="1" t="s">
        <v>558</v>
      </c>
    </row>
    <row r="141" spans="1:7" ht="12.75" customHeight="1" x14ac:dyDescent="0.3">
      <c r="A141" s="1" t="s">
        <v>559</v>
      </c>
      <c r="B141" s="1" t="s">
        <v>176</v>
      </c>
      <c r="C141" s="1" t="s">
        <v>560</v>
      </c>
      <c r="D141" s="6">
        <v>2576</v>
      </c>
      <c r="E141" s="1" t="s">
        <v>156</v>
      </c>
      <c r="F141" s="2" t="str">
        <f>HYPERLINK("https://www.sciencedirect.com/journal/schizophrenia-research-cognition")</f>
        <v>https://www.sciencedirect.com/journal/schizophrenia-research-cognition</v>
      </c>
      <c r="G141" s="1" t="s">
        <v>561</v>
      </c>
    </row>
    <row r="142" spans="1:7" ht="12.75" customHeight="1" x14ac:dyDescent="0.3">
      <c r="A142" s="1" t="s">
        <v>562</v>
      </c>
      <c r="B142" s="1" t="s">
        <v>193</v>
      </c>
      <c r="C142" s="1" t="s">
        <v>563</v>
      </c>
      <c r="D142" s="6">
        <v>2784</v>
      </c>
      <c r="E142" s="1" t="s">
        <v>156</v>
      </c>
      <c r="F142" s="2" t="str">
        <f>HYPERLINK("https://www.sciencedirect.com/journal/neoplasia")</f>
        <v>https://www.sciencedirect.com/journal/neoplasia</v>
      </c>
      <c r="G142" s="1" t="s">
        <v>564</v>
      </c>
    </row>
    <row r="143" spans="1:7" ht="12.75" customHeight="1" x14ac:dyDescent="0.3">
      <c r="A143" s="1" t="s">
        <v>565</v>
      </c>
      <c r="B143" s="1" t="s">
        <v>193</v>
      </c>
      <c r="C143" s="1" t="s">
        <v>566</v>
      </c>
      <c r="D143" s="6">
        <v>2840</v>
      </c>
      <c r="E143" s="1" t="s">
        <v>156</v>
      </c>
      <c r="F143" s="2" t="str">
        <f>HYPERLINK("https://www.sciencedirect.com/journal/translational-oncology")</f>
        <v>https://www.sciencedirect.com/journal/translational-oncology</v>
      </c>
      <c r="G143" s="1" t="s">
        <v>567</v>
      </c>
    </row>
    <row r="144" spans="1:7" ht="12.75" customHeight="1" x14ac:dyDescent="0.3">
      <c r="A144" s="1" t="s">
        <v>568</v>
      </c>
      <c r="B144" s="1" t="s">
        <v>216</v>
      </c>
      <c r="C144" s="1" t="s">
        <v>569</v>
      </c>
      <c r="D144" s="6">
        <v>1936</v>
      </c>
      <c r="E144" s="1" t="s">
        <v>156</v>
      </c>
      <c r="F144" s="2" t="str">
        <f>HYPERLINK("https://www.sciencedirect.com/journal/human-nutrition-and-metabolism")</f>
        <v>https://www.sciencedirect.com/journal/human-nutrition-and-metabolism</v>
      </c>
      <c r="G144" s="1" t="s">
        <v>570</v>
      </c>
    </row>
    <row r="145" spans="1:7" ht="12.75" customHeight="1" x14ac:dyDescent="0.3">
      <c r="A145" s="1" t="s">
        <v>572</v>
      </c>
      <c r="B145" s="1" t="s">
        <v>222</v>
      </c>
      <c r="C145" s="1" t="s">
        <v>573</v>
      </c>
      <c r="D145" s="6">
        <v>1168</v>
      </c>
      <c r="E145" s="1" t="s">
        <v>156</v>
      </c>
      <c r="F145" s="2" t="str">
        <f>HYPERLINK("https://www.sciencedirect.com/journal/atencion-primaria")</f>
        <v>https://www.sciencedirect.com/journal/atencion-primaria</v>
      </c>
      <c r="G145" s="1" t="s">
        <v>574</v>
      </c>
    </row>
    <row r="146" spans="1:7" ht="12.75" customHeight="1" x14ac:dyDescent="0.3">
      <c r="A146" s="1" t="s">
        <v>575</v>
      </c>
      <c r="B146" s="1" t="s">
        <v>229</v>
      </c>
      <c r="C146" s="1" t="s">
        <v>576</v>
      </c>
      <c r="D146" s="6">
        <v>1520</v>
      </c>
      <c r="E146" s="1" t="s">
        <v>386</v>
      </c>
      <c r="F146" s="2" t="str">
        <f>HYPERLINK("https://www.sciencedirect.com/journal/journal-of-optometry")</f>
        <v>https://www.sciencedirect.com/journal/journal-of-optometry</v>
      </c>
      <c r="G146" s="1" t="s">
        <v>577</v>
      </c>
    </row>
    <row r="147" spans="1:7" ht="12.75" customHeight="1" x14ac:dyDescent="0.3">
      <c r="A147" s="1" t="s">
        <v>578</v>
      </c>
      <c r="B147" s="1" t="s">
        <v>199</v>
      </c>
      <c r="C147" s="1" t="s">
        <v>579</v>
      </c>
      <c r="D147" s="6">
        <v>896</v>
      </c>
      <c r="E147" s="1" t="s">
        <v>158</v>
      </c>
      <c r="F147" s="2" t="str">
        <f>HYPERLINK("https://www.sciencedirect.com/journal/revista-argentina-de-microbiologia")</f>
        <v>https://www.sciencedirect.com/journal/revista-argentina-de-microbiologia</v>
      </c>
      <c r="G147" s="1" t="s">
        <v>580</v>
      </c>
    </row>
    <row r="148" spans="1:7" ht="12.75" customHeight="1" x14ac:dyDescent="0.3">
      <c r="A148" s="1" t="s">
        <v>581</v>
      </c>
      <c r="B148" s="1" t="s">
        <v>309</v>
      </c>
      <c r="C148" s="1" t="s">
        <v>582</v>
      </c>
      <c r="D148" s="6">
        <v>2448</v>
      </c>
      <c r="E148" s="1" t="s">
        <v>156</v>
      </c>
      <c r="F148" s="2" t="str">
        <f>HYPERLINK("https://www.sciencedirect.com/journal/international-journal-of-clinical-and-health-psychology")</f>
        <v>https://www.sciencedirect.com/journal/international-journal-of-clinical-and-health-psychology</v>
      </c>
      <c r="G148" s="1" t="s">
        <v>583</v>
      </c>
    </row>
    <row r="149" spans="1:7" ht="12.75" customHeight="1" x14ac:dyDescent="0.3">
      <c r="A149" s="1" t="s">
        <v>584</v>
      </c>
      <c r="B149" s="1" t="s">
        <v>193</v>
      </c>
      <c r="C149" s="1" t="s">
        <v>585</v>
      </c>
      <c r="D149" s="6">
        <v>1200</v>
      </c>
      <c r="E149" s="1" t="s">
        <v>505</v>
      </c>
      <c r="F149" s="2" t="str">
        <f>HYPERLINK("https://www.sciencedirect.com/journal/the-brazilian-journal-of-infectious-diseases")</f>
        <v>https://www.sciencedirect.com/journal/the-brazilian-journal-of-infectious-diseases</v>
      </c>
      <c r="G149" s="1" t="s">
        <v>586</v>
      </c>
    </row>
    <row r="150" spans="1:7" ht="12.75" customHeight="1" x14ac:dyDescent="0.3">
      <c r="A150" s="1" t="s">
        <v>587</v>
      </c>
      <c r="B150" s="1" t="s">
        <v>222</v>
      </c>
      <c r="C150" s="1" t="s">
        <v>588</v>
      </c>
      <c r="D150" s="6">
        <v>1552</v>
      </c>
      <c r="E150" s="1" t="s">
        <v>505</v>
      </c>
      <c r="F150" s="2" t="str">
        <f>HYPERLINK("https://www.sciencedirect.com/journal/brazilian-journal-of-otorhinolaryngology")</f>
        <v>https://www.sciencedirect.com/journal/brazilian-journal-of-otorhinolaryngology</v>
      </c>
      <c r="G150" s="1" t="s">
        <v>589</v>
      </c>
    </row>
    <row r="151" spans="1:7" ht="12.75" customHeight="1" x14ac:dyDescent="0.3">
      <c r="A151" s="1" t="s">
        <v>590</v>
      </c>
      <c r="B151" s="1" t="s">
        <v>157</v>
      </c>
      <c r="C151" s="1" t="s">
        <v>591</v>
      </c>
      <c r="D151" s="6">
        <v>1008</v>
      </c>
      <c r="E151" s="1" t="s">
        <v>158</v>
      </c>
      <c r="F151" s="2" t="str">
        <f>HYPERLINK("https://www.sciencedirect.com/journal/european-research-on-management-and-business-economics")</f>
        <v>https://www.sciencedirect.com/journal/european-research-on-management-and-business-economics</v>
      </c>
      <c r="G151" s="1" t="s">
        <v>592</v>
      </c>
    </row>
    <row r="152" spans="1:7" ht="12.75" customHeight="1" x14ac:dyDescent="0.3">
      <c r="A152" s="1" t="s">
        <v>593</v>
      </c>
      <c r="B152" s="1" t="s">
        <v>189</v>
      </c>
      <c r="C152" s="1" t="s">
        <v>594</v>
      </c>
      <c r="D152" s="6">
        <v>1344</v>
      </c>
      <c r="E152" s="1" t="s">
        <v>156</v>
      </c>
      <c r="F152" s="2" t="str">
        <f>HYPERLINK("https://www.sciencedirect.com/journal/journal-of-materials-research-and-technology")</f>
        <v>https://www.sciencedirect.com/journal/journal-of-materials-research-and-technology</v>
      </c>
      <c r="G152" s="1" t="s">
        <v>595</v>
      </c>
    </row>
    <row r="153" spans="1:7" ht="12.75" customHeight="1" x14ac:dyDescent="0.3">
      <c r="A153" s="1" t="s">
        <v>596</v>
      </c>
      <c r="B153" s="1" t="s">
        <v>222</v>
      </c>
      <c r="C153" s="1" t="s">
        <v>597</v>
      </c>
      <c r="D153" s="6">
        <v>520</v>
      </c>
      <c r="E153" s="1" t="s">
        <v>598</v>
      </c>
      <c r="F153" s="2" t="str">
        <f>HYPERLINK("https://www.sciencedirect.com/journal/educacion-medica")</f>
        <v>https://www.sciencedirect.com/journal/educacion-medica</v>
      </c>
      <c r="G153" s="1" t="s">
        <v>599</v>
      </c>
    </row>
    <row r="154" spans="1:7" ht="12.75" customHeight="1" x14ac:dyDescent="0.3">
      <c r="A154" s="1" t="s">
        <v>600</v>
      </c>
      <c r="B154" s="1" t="s">
        <v>157</v>
      </c>
      <c r="C154" s="1" t="s">
        <v>601</v>
      </c>
      <c r="D154" s="6">
        <v>1648</v>
      </c>
      <c r="E154" s="1" t="s">
        <v>386</v>
      </c>
      <c r="F154" s="2" t="str">
        <f>HYPERLINK("https://www.sciencedirect.com/journal/journal-of-innovation-and-knowledge")</f>
        <v>https://www.sciencedirect.com/journal/journal-of-innovation-and-knowledge</v>
      </c>
      <c r="G154" s="1" t="s">
        <v>602</v>
      </c>
    </row>
    <row r="155" spans="1:7" ht="12.75" customHeight="1" x14ac:dyDescent="0.3">
      <c r="A155" s="1" t="s">
        <v>603</v>
      </c>
      <c r="B155" s="1" t="s">
        <v>222</v>
      </c>
      <c r="C155" s="1" t="s">
        <v>604</v>
      </c>
      <c r="D155" s="6">
        <v>1208</v>
      </c>
      <c r="E155" s="1" t="s">
        <v>156</v>
      </c>
      <c r="F155" s="2" t="str">
        <f>HYPERLINK("https://www.sciencedirect.com/journal/medicina-clinica-practica")</f>
        <v>https://www.sciencedirect.com/journal/medicina-clinica-practica</v>
      </c>
      <c r="G155" s="1" t="s">
        <v>605</v>
      </c>
    </row>
    <row r="156" spans="1:7" ht="12.75" customHeight="1" x14ac:dyDescent="0.3">
      <c r="A156" s="1" t="s">
        <v>606</v>
      </c>
      <c r="B156" s="1" t="s">
        <v>210</v>
      </c>
      <c r="C156" s="1" t="s">
        <v>607</v>
      </c>
      <c r="D156" s="6">
        <v>824</v>
      </c>
      <c r="E156" s="1" t="s">
        <v>386</v>
      </c>
      <c r="F156" s="2" t="str">
        <f>HYPERLINK("https://www.sciencedirect.com/journal/boletin-de-la-sociedad-espanola-de-ceramica-y-vidrio")</f>
        <v>https://www.sciencedirect.com/journal/boletin-de-la-sociedad-espanola-de-ceramica-y-vidrio</v>
      </c>
      <c r="G156" s="1" t="s">
        <v>608</v>
      </c>
    </row>
    <row r="157" spans="1:7" ht="12.75" customHeight="1" x14ac:dyDescent="0.3">
      <c r="A157" s="1" t="s">
        <v>609</v>
      </c>
      <c r="B157" s="1" t="s">
        <v>222</v>
      </c>
      <c r="C157" s="1" t="s">
        <v>610</v>
      </c>
      <c r="D157" s="6">
        <v>1872</v>
      </c>
      <c r="E157" s="1" t="s">
        <v>158</v>
      </c>
      <c r="F157" s="2" t="str">
        <f>HYPERLINK("https://www.sciencedirect.com/journal/journal-of-orthopaedic-translation")</f>
        <v>https://www.sciencedirect.com/journal/journal-of-orthopaedic-translation</v>
      </c>
      <c r="G157" s="1" t="s">
        <v>611</v>
      </c>
    </row>
    <row r="158" spans="1:7" ht="12.75" customHeight="1" x14ac:dyDescent="0.3">
      <c r="A158" s="1" t="s">
        <v>612</v>
      </c>
      <c r="B158" s="1" t="s">
        <v>160</v>
      </c>
      <c r="C158" s="1" t="s">
        <v>613</v>
      </c>
      <c r="D158" s="6">
        <v>1288</v>
      </c>
      <c r="E158" s="1" t="s">
        <v>156</v>
      </c>
      <c r="F158" s="2" t="str">
        <f>HYPERLINK("https://www.sciencedirect.com/journal/case-studies-in-thermal-engineering")</f>
        <v>https://www.sciencedirect.com/journal/case-studies-in-thermal-engineering</v>
      </c>
      <c r="G158" s="1" t="s">
        <v>614</v>
      </c>
    </row>
    <row r="159" spans="1:7" ht="12.75" customHeight="1" x14ac:dyDescent="0.3">
      <c r="A159" s="1" t="s">
        <v>615</v>
      </c>
      <c r="B159" s="1" t="s">
        <v>222</v>
      </c>
      <c r="C159" s="1" t="s">
        <v>616</v>
      </c>
      <c r="D159" s="6">
        <v>5848</v>
      </c>
      <c r="E159" s="1" t="s">
        <v>156</v>
      </c>
      <c r="F159" s="2" t="str">
        <f>HYPERLINK("https://www.sciencedirect.com/journal/the-lancet-global-health")</f>
        <v>https://www.sciencedirect.com/journal/the-lancet-global-health</v>
      </c>
      <c r="G159" s="1"/>
    </row>
    <row r="160" spans="1:7" ht="12.75" customHeight="1" x14ac:dyDescent="0.3">
      <c r="A160" s="1" t="s">
        <v>617</v>
      </c>
      <c r="B160" s="1" t="s">
        <v>168</v>
      </c>
      <c r="C160" s="1" t="s">
        <v>618</v>
      </c>
      <c r="D160" s="6">
        <v>1496</v>
      </c>
      <c r="E160" s="1" t="s">
        <v>158</v>
      </c>
      <c r="F160" s="2" t="str">
        <f>HYPERLINK("https://www.sciencedirect.com/journal/information-processing-in-agriculture")</f>
        <v>https://www.sciencedirect.com/journal/information-processing-in-agriculture</v>
      </c>
      <c r="G160" s="1" t="s">
        <v>619</v>
      </c>
    </row>
    <row r="161" spans="1:7" ht="12.75" customHeight="1" x14ac:dyDescent="0.3">
      <c r="A161" s="1" t="s">
        <v>620</v>
      </c>
      <c r="B161" s="1" t="s">
        <v>160</v>
      </c>
      <c r="C161" s="1" t="s">
        <v>621</v>
      </c>
      <c r="D161" s="6">
        <v>2088</v>
      </c>
      <c r="E161" s="1" t="s">
        <v>156</v>
      </c>
      <c r="F161" s="2" t="str">
        <f>HYPERLINK("https://www.sciencedirect.com/journal/case-studies-in-construction-materials")</f>
        <v>https://www.sciencedirect.com/journal/case-studies-in-construction-materials</v>
      </c>
      <c r="G161" s="1" t="s">
        <v>622</v>
      </c>
    </row>
    <row r="162" spans="1:7" ht="12.75" customHeight="1" x14ac:dyDescent="0.3">
      <c r="A162" s="1" t="s">
        <v>623</v>
      </c>
      <c r="B162" s="1" t="s">
        <v>624</v>
      </c>
      <c r="C162" s="1" t="s">
        <v>625</v>
      </c>
      <c r="D162" s="6">
        <v>1608</v>
      </c>
      <c r="E162" s="1" t="s">
        <v>156</v>
      </c>
      <c r="F162" s="2" t="str">
        <f>HYPERLINK("https://www.sciencedirect.com/journal/operations-research-perspectives")</f>
        <v>https://www.sciencedirect.com/journal/operations-research-perspectives</v>
      </c>
      <c r="G162" s="1" t="s">
        <v>626</v>
      </c>
    </row>
    <row r="163" spans="1:7" ht="12.75" customHeight="1" x14ac:dyDescent="0.3">
      <c r="A163" s="1" t="s">
        <v>627</v>
      </c>
      <c r="B163" s="1" t="s">
        <v>628</v>
      </c>
      <c r="C163" s="1" t="s">
        <v>629</v>
      </c>
      <c r="D163" s="6">
        <v>1048</v>
      </c>
      <c r="E163" s="1" t="s">
        <v>158</v>
      </c>
      <c r="F163" s="2" t="str">
        <f>HYPERLINK("https://www.sciencedirect.com/journal/journal-of-radiation-research-and-applied-sciences")</f>
        <v>https://www.sciencedirect.com/journal/journal-of-radiation-research-and-applied-sciences</v>
      </c>
      <c r="G163" s="1" t="s">
        <v>630</v>
      </c>
    </row>
    <row r="164" spans="1:7" ht="12.75" customHeight="1" x14ac:dyDescent="0.3">
      <c r="A164" s="1" t="s">
        <v>631</v>
      </c>
      <c r="B164" s="1" t="s">
        <v>222</v>
      </c>
      <c r="C164" s="1" t="s">
        <v>632</v>
      </c>
      <c r="D164" s="6">
        <v>808</v>
      </c>
      <c r="E164" s="1" t="s">
        <v>156</v>
      </c>
      <c r="F164" s="2" t="str">
        <f>HYPERLINK("https://www.sciencedirect.com/journal/case-reports-in-womens-health")</f>
        <v>https://www.sciencedirect.com/journal/case-reports-in-womens-health</v>
      </c>
      <c r="G164" s="1" t="s">
        <v>633</v>
      </c>
    </row>
    <row r="165" spans="1:7" ht="12.75" customHeight="1" x14ac:dyDescent="0.3">
      <c r="A165" s="1" t="s">
        <v>634</v>
      </c>
      <c r="B165" s="1" t="s">
        <v>193</v>
      </c>
      <c r="C165" s="1" t="s">
        <v>635</v>
      </c>
      <c r="D165" s="6">
        <v>968</v>
      </c>
      <c r="E165" s="1" t="s">
        <v>156</v>
      </c>
      <c r="F165" s="2" t="str">
        <f>HYPERLINK("https://www.sciencedirect.com/journal/methodsx")</f>
        <v>https://www.sciencedirect.com/journal/methodsx</v>
      </c>
      <c r="G165" s="1" t="s">
        <v>636</v>
      </c>
    </row>
    <row r="166" spans="1:7" ht="12.75" customHeight="1" x14ac:dyDescent="0.3">
      <c r="A166" s="1" t="s">
        <v>637</v>
      </c>
      <c r="B166" s="1" t="s">
        <v>220</v>
      </c>
      <c r="C166" s="1" t="s">
        <v>638</v>
      </c>
      <c r="D166" s="6">
        <v>2664</v>
      </c>
      <c r="E166" s="1" t="s">
        <v>156</v>
      </c>
      <c r="F166" s="2" t="str">
        <f>HYPERLINK("https://www.sciencedirect.com/journal/biotechnology-reports")</f>
        <v>https://www.sciencedirect.com/journal/biotechnology-reports</v>
      </c>
      <c r="G166" s="1" t="s">
        <v>639</v>
      </c>
    </row>
    <row r="167" spans="1:7" ht="12.75" customHeight="1" x14ac:dyDescent="0.3">
      <c r="A167" s="1" t="s">
        <v>33</v>
      </c>
      <c r="B167" s="1" t="s">
        <v>164</v>
      </c>
      <c r="C167" s="1" t="s">
        <v>32</v>
      </c>
      <c r="D167" s="6">
        <v>1648</v>
      </c>
      <c r="E167" s="1" t="s">
        <v>156</v>
      </c>
      <c r="F167" s="2" t="str">
        <f>HYPERLINK("https://www.sciencedirect.com/journal/colloid-and-interface-science-communications")</f>
        <v>https://www.sciencedirect.com/journal/colloid-and-interface-science-communications</v>
      </c>
      <c r="G167" s="1" t="s">
        <v>640</v>
      </c>
    </row>
    <row r="168" spans="1:7" ht="12.75" customHeight="1" x14ac:dyDescent="0.3">
      <c r="A168" s="1" t="s">
        <v>641</v>
      </c>
      <c r="B168" s="1" t="s">
        <v>642</v>
      </c>
      <c r="C168" s="1" t="s">
        <v>643</v>
      </c>
      <c r="D168" s="6">
        <v>1720</v>
      </c>
      <c r="E168" s="1" t="s">
        <v>158</v>
      </c>
      <c r="F168" s="2" t="str">
        <f>HYPERLINK("https://www.sciencedirect.com/journal/electronic-journal-of-biotechnology")</f>
        <v>https://www.sciencedirect.com/journal/electronic-journal-of-biotechnology</v>
      </c>
      <c r="G168" s="1" t="s">
        <v>644</v>
      </c>
    </row>
    <row r="169" spans="1:7" ht="12.75" customHeight="1" x14ac:dyDescent="0.3">
      <c r="A169" s="1" t="s">
        <v>645</v>
      </c>
      <c r="B169" s="1" t="s">
        <v>185</v>
      </c>
      <c r="C169" s="1" t="s">
        <v>646</v>
      </c>
      <c r="D169" s="6">
        <v>2272</v>
      </c>
      <c r="E169" s="1" t="s">
        <v>156</v>
      </c>
      <c r="F169" s="2" t="str">
        <f>HYPERLINK("https://www.sciencedirect.com/journal/global-ecology-and-conservation")</f>
        <v>https://www.sciencedirect.com/journal/global-ecology-and-conservation</v>
      </c>
      <c r="G169" s="1" t="s">
        <v>647</v>
      </c>
    </row>
    <row r="170" spans="1:7" ht="12.75" customHeight="1" x14ac:dyDescent="0.3">
      <c r="A170" s="1" t="s">
        <v>648</v>
      </c>
      <c r="B170" s="1" t="s">
        <v>222</v>
      </c>
      <c r="C170" s="1" t="s">
        <v>649</v>
      </c>
      <c r="D170" s="6">
        <v>2008</v>
      </c>
      <c r="E170" s="1" t="s">
        <v>156</v>
      </c>
      <c r="F170" s="2" t="str">
        <f>HYPERLINK("https://www.sciencedirect.com/journal/european-journal-of-radiology-open")</f>
        <v>https://www.sciencedirect.com/journal/european-journal-of-radiology-open</v>
      </c>
      <c r="G170" s="1" t="s">
        <v>650</v>
      </c>
    </row>
    <row r="171" spans="1:7" ht="12.75" customHeight="1" x14ac:dyDescent="0.3">
      <c r="A171" s="1" t="s">
        <v>651</v>
      </c>
      <c r="B171" s="1" t="s">
        <v>269</v>
      </c>
      <c r="C171" s="1" t="s">
        <v>652</v>
      </c>
      <c r="D171" s="6">
        <v>1912</v>
      </c>
      <c r="E171" s="1" t="s">
        <v>156</v>
      </c>
      <c r="F171" s="2" t="str">
        <f>HYPERLINK("https://www.sciencedirect.com/journal/nuclear-materials-and-energy")</f>
        <v>https://www.sciencedirect.com/journal/nuclear-materials-and-energy</v>
      </c>
      <c r="G171" s="1" t="s">
        <v>653</v>
      </c>
    </row>
    <row r="172" spans="1:7" ht="12.75" customHeight="1" x14ac:dyDescent="0.3">
      <c r="A172" s="1" t="s">
        <v>23</v>
      </c>
      <c r="B172" s="1" t="s">
        <v>222</v>
      </c>
      <c r="C172" s="1" t="s">
        <v>22</v>
      </c>
      <c r="D172" s="6">
        <v>2152</v>
      </c>
      <c r="E172" s="1" t="s">
        <v>156</v>
      </c>
      <c r="F172" s="2" t="str">
        <f>HYPERLINK("https://www.sciencedirect.com/journal/cancer-treatment-and-research-communications")</f>
        <v>https://www.sciencedirect.com/journal/cancer-treatment-and-research-communications</v>
      </c>
      <c r="G172" s="1" t="s">
        <v>654</v>
      </c>
    </row>
    <row r="173" spans="1:7" ht="12.75" customHeight="1" x14ac:dyDescent="0.3">
      <c r="A173" s="1" t="s">
        <v>655</v>
      </c>
      <c r="B173" s="1" t="s">
        <v>193</v>
      </c>
      <c r="C173" s="1" t="s">
        <v>656</v>
      </c>
      <c r="D173" s="6">
        <v>1224</v>
      </c>
      <c r="E173" s="1" t="s">
        <v>156</v>
      </c>
      <c r="F173" s="2" t="str">
        <f>HYPERLINK("https://www.sciencedirect.com/journal/idcases")</f>
        <v>https://www.sciencedirect.com/journal/idcases</v>
      </c>
      <c r="G173" s="1" t="s">
        <v>657</v>
      </c>
    </row>
    <row r="174" spans="1:7" ht="12.75" customHeight="1" x14ac:dyDescent="0.3">
      <c r="A174" s="1" t="s">
        <v>658</v>
      </c>
      <c r="B174" s="1" t="s">
        <v>209</v>
      </c>
      <c r="C174" s="1" t="s">
        <v>659</v>
      </c>
      <c r="D174" s="6">
        <v>2400</v>
      </c>
      <c r="E174" s="1" t="s">
        <v>156</v>
      </c>
      <c r="F174" s="2" t="str">
        <f>HYPERLINK("https://www.sciencedirect.com/journal/sensing-and-bio-sensing-research")</f>
        <v>https://www.sciencedirect.com/journal/sensing-and-bio-sensing-research</v>
      </c>
      <c r="G174" s="1" t="s">
        <v>660</v>
      </c>
    </row>
    <row r="175" spans="1:7" ht="12.75" customHeight="1" x14ac:dyDescent="0.3">
      <c r="A175" s="1" t="s">
        <v>661</v>
      </c>
      <c r="B175" s="1" t="s">
        <v>215</v>
      </c>
      <c r="C175" s="1" t="s">
        <v>662</v>
      </c>
      <c r="D175" s="6">
        <v>2576</v>
      </c>
      <c r="E175" s="1" t="s">
        <v>156</v>
      </c>
      <c r="F175" s="2" t="str">
        <f>HYPERLINK("https://www.sciencedirect.com/journal/current-plant-biology")</f>
        <v>https://www.sciencedirect.com/journal/current-plant-biology</v>
      </c>
      <c r="G175" s="1" t="s">
        <v>663</v>
      </c>
    </row>
    <row r="176" spans="1:7" ht="12.75" customHeight="1" x14ac:dyDescent="0.3">
      <c r="A176" s="1" t="s">
        <v>664</v>
      </c>
      <c r="B176" s="1" t="s">
        <v>665</v>
      </c>
      <c r="C176" s="1" t="s">
        <v>666</v>
      </c>
      <c r="D176" s="6">
        <v>2384</v>
      </c>
      <c r="E176" s="1" t="s">
        <v>156</v>
      </c>
      <c r="F176" s="2" t="str">
        <f>HYPERLINK("https://www.sciencedirect.com/journal/internet-interventions")</f>
        <v>https://www.sciencedirect.com/journal/internet-interventions</v>
      </c>
      <c r="G176" s="1" t="s">
        <v>667</v>
      </c>
    </row>
    <row r="177" spans="1:7" ht="12.75" customHeight="1" x14ac:dyDescent="0.3">
      <c r="A177" s="1" t="s">
        <v>668</v>
      </c>
      <c r="B177" s="1" t="s">
        <v>160</v>
      </c>
      <c r="C177" s="1" t="s">
        <v>669</v>
      </c>
      <c r="D177" s="6">
        <v>1496</v>
      </c>
      <c r="E177" s="1" t="s">
        <v>158</v>
      </c>
      <c r="F177" s="2" t="str">
        <f>HYPERLINK("https://www.sciencedirect.com/journal/engineering-science-and-technology-an-international-journal")</f>
        <v>https://www.sciencedirect.com/journal/engineering-science-and-technology-an-international-journal</v>
      </c>
      <c r="G177" s="1" t="s">
        <v>670</v>
      </c>
    </row>
    <row r="178" spans="1:7" ht="12.75" customHeight="1" x14ac:dyDescent="0.3">
      <c r="A178" s="1" t="s">
        <v>671</v>
      </c>
      <c r="B178" s="1" t="s">
        <v>222</v>
      </c>
      <c r="C178" s="1" t="s">
        <v>672</v>
      </c>
      <c r="D178" s="6">
        <v>1432</v>
      </c>
      <c r="E178" s="1" t="s">
        <v>156</v>
      </c>
      <c r="F178" s="2" t="str">
        <f>HYPERLINK("https://www.sciencedirect.com/journal/interdisciplinary-neurosurgery")</f>
        <v>https://www.sciencedirect.com/journal/interdisciplinary-neurosurgery</v>
      </c>
      <c r="G178" s="1" t="s">
        <v>673</v>
      </c>
    </row>
    <row r="179" spans="1:7" ht="12.75" customHeight="1" x14ac:dyDescent="0.3">
      <c r="A179" s="1" t="s">
        <v>55</v>
      </c>
      <c r="B179" s="1" t="s">
        <v>185</v>
      </c>
      <c r="C179" s="1" t="s">
        <v>54</v>
      </c>
      <c r="D179" s="6">
        <v>2264</v>
      </c>
      <c r="E179" s="1" t="s">
        <v>156</v>
      </c>
      <c r="F179" s="2" t="str">
        <f>HYPERLINK("https://www.sciencedirect.com/journal/environmental-technology-and-innovation")</f>
        <v>https://www.sciencedirect.com/journal/environmental-technology-and-innovation</v>
      </c>
      <c r="G179" s="1" t="s">
        <v>674</v>
      </c>
    </row>
    <row r="180" spans="1:7" ht="12.75" customHeight="1" x14ac:dyDescent="0.3">
      <c r="A180" s="1" t="s">
        <v>675</v>
      </c>
      <c r="B180" s="1" t="s">
        <v>676</v>
      </c>
      <c r="C180" s="1" t="s">
        <v>677</v>
      </c>
      <c r="D180" s="6">
        <v>1344</v>
      </c>
      <c r="E180" s="1" t="s">
        <v>386</v>
      </c>
      <c r="F180" s="2" t="str">
        <f>HYPERLINK("https://www.sciencedirect.com/journal/regenerative-therapy")</f>
        <v>https://www.sciencedirect.com/journal/regenerative-therapy</v>
      </c>
      <c r="G180" s="1" t="s">
        <v>678</v>
      </c>
    </row>
    <row r="181" spans="1:7" ht="12.75" customHeight="1" x14ac:dyDescent="0.3">
      <c r="A181" s="1" t="s">
        <v>679</v>
      </c>
      <c r="B181" s="1" t="s">
        <v>193</v>
      </c>
      <c r="C181" s="1" t="s">
        <v>680</v>
      </c>
      <c r="D181" s="6">
        <v>5057.5</v>
      </c>
      <c r="E181" s="1" t="s">
        <v>156</v>
      </c>
      <c r="F181" s="2" t="str">
        <f>HYPERLINK("https://www.sciencedirect.com/journal/ebiomedicine")</f>
        <v>https://www.sciencedirect.com/journal/ebiomedicine</v>
      </c>
      <c r="G181" s="1" t="s">
        <v>681</v>
      </c>
    </row>
    <row r="182" spans="1:7" ht="12.75" customHeight="1" x14ac:dyDescent="0.3">
      <c r="A182" s="1" t="s">
        <v>682</v>
      </c>
      <c r="B182" s="1" t="s">
        <v>168</v>
      </c>
      <c r="C182" s="1" t="s">
        <v>683</v>
      </c>
      <c r="D182" s="6">
        <v>2064</v>
      </c>
      <c r="E182" s="1" t="s">
        <v>156</v>
      </c>
      <c r="F182" s="2" t="str">
        <f>HYPERLINK("https://www.sciencedirect.com/journal/aquaculture-reports")</f>
        <v>https://www.sciencedirect.com/journal/aquaculture-reports</v>
      </c>
      <c r="G182" s="1" t="s">
        <v>684</v>
      </c>
    </row>
    <row r="183" spans="1:7" ht="12.75" customHeight="1" x14ac:dyDescent="0.3">
      <c r="A183" s="1" t="s">
        <v>685</v>
      </c>
      <c r="B183" s="1" t="s">
        <v>179</v>
      </c>
      <c r="C183" s="1" t="s">
        <v>686</v>
      </c>
      <c r="D183" s="6">
        <v>2368</v>
      </c>
      <c r="E183" s="1" t="s">
        <v>156</v>
      </c>
      <c r="F183" s="2" t="str">
        <f>HYPERLINK("https://www.sciencedirect.com/journal/energy-reports")</f>
        <v>https://www.sciencedirect.com/journal/energy-reports</v>
      </c>
      <c r="G183" s="1" t="s">
        <v>687</v>
      </c>
    </row>
    <row r="184" spans="1:7" ht="12.75" customHeight="1" x14ac:dyDescent="0.3">
      <c r="A184" s="1" t="s">
        <v>688</v>
      </c>
      <c r="B184" s="1" t="s">
        <v>222</v>
      </c>
      <c r="C184" s="1" t="s">
        <v>689</v>
      </c>
      <c r="D184" s="6">
        <v>1072</v>
      </c>
      <c r="E184" s="1" t="s">
        <v>156</v>
      </c>
      <c r="F184" s="2" t="str">
        <f>HYPERLINK("https://www.sciencedirect.com/journal/trauma-case-reports")</f>
        <v>https://www.sciencedirect.com/journal/trauma-case-reports</v>
      </c>
      <c r="G184" s="1" t="s">
        <v>690</v>
      </c>
    </row>
    <row r="185" spans="1:7" ht="12.75" customHeight="1" x14ac:dyDescent="0.3">
      <c r="A185" s="1" t="s">
        <v>691</v>
      </c>
      <c r="B185" s="1" t="s">
        <v>224</v>
      </c>
      <c r="C185" s="1" t="s">
        <v>692</v>
      </c>
      <c r="D185" s="6">
        <v>2024</v>
      </c>
      <c r="E185" s="1" t="s">
        <v>156</v>
      </c>
      <c r="F185" s="2" t="str">
        <f>HYPERLINK("https://www.sciencedirect.com/journal/new-microbes-and-new-infections")</f>
        <v>https://www.sciencedirect.com/journal/new-microbes-and-new-infections</v>
      </c>
      <c r="G185" s="1" t="s">
        <v>693</v>
      </c>
    </row>
    <row r="186" spans="1:7" ht="12.75" customHeight="1" x14ac:dyDescent="0.3">
      <c r="A186" s="1" t="s">
        <v>694</v>
      </c>
      <c r="B186" s="1" t="s">
        <v>695</v>
      </c>
      <c r="C186" s="1" t="s">
        <v>696</v>
      </c>
      <c r="D186" s="6">
        <v>1096</v>
      </c>
      <c r="E186" s="1" t="s">
        <v>697</v>
      </c>
      <c r="F186" s="2" t="str">
        <f>HYPERLINK("https://www.sciencedirect.com/journal/softwarex")</f>
        <v>https://www.sciencedirect.com/journal/softwarex</v>
      </c>
      <c r="G186" s="1" t="s">
        <v>698</v>
      </c>
    </row>
    <row r="187" spans="1:7" ht="12.75" customHeight="1" x14ac:dyDescent="0.3">
      <c r="A187" s="1" t="s">
        <v>699</v>
      </c>
      <c r="B187" s="1" t="s">
        <v>539</v>
      </c>
      <c r="C187" s="1" t="s">
        <v>700</v>
      </c>
      <c r="D187" s="6">
        <v>1848</v>
      </c>
      <c r="E187" s="1" t="s">
        <v>156</v>
      </c>
      <c r="F187" s="2" t="str">
        <f>HYPERLINK("https://www.sciencedirect.com/journal/practical-laboratory-medicine")</f>
        <v>https://www.sciencedirect.com/journal/practical-laboratory-medicine</v>
      </c>
      <c r="G187" s="1" t="s">
        <v>701</v>
      </c>
    </row>
    <row r="188" spans="1:7" ht="12.75" customHeight="1" x14ac:dyDescent="0.3">
      <c r="A188" s="1" t="s">
        <v>702</v>
      </c>
      <c r="B188" s="1" t="s">
        <v>310</v>
      </c>
      <c r="C188" s="1" t="s">
        <v>703</v>
      </c>
      <c r="D188" s="6">
        <v>1552</v>
      </c>
      <c r="E188" s="1" t="s">
        <v>158</v>
      </c>
      <c r="F188" s="2" t="str">
        <f>HYPERLINK("https://www.sciencedirect.com/journal/journal-of-pharmacological-sciences")</f>
        <v>https://www.sciencedirect.com/journal/journal-of-pharmacological-sciences</v>
      </c>
      <c r="G188" s="1" t="s">
        <v>704</v>
      </c>
    </row>
    <row r="189" spans="1:7" ht="12.75" customHeight="1" x14ac:dyDescent="0.3">
      <c r="A189" s="1" t="s">
        <v>705</v>
      </c>
      <c r="B189" s="1" t="s">
        <v>249</v>
      </c>
      <c r="C189" s="1" t="s">
        <v>706</v>
      </c>
      <c r="D189" s="6">
        <v>2496</v>
      </c>
      <c r="E189" s="1" t="s">
        <v>156</v>
      </c>
      <c r="F189" s="2" t="str">
        <f>HYPERLINK("https://www.sciencedirect.com/journal/addictive-behaviors-reports")</f>
        <v>https://www.sciencedirect.com/journal/addictive-behaviors-reports</v>
      </c>
      <c r="G189" s="1" t="s">
        <v>707</v>
      </c>
    </row>
    <row r="190" spans="1:7" ht="12.75" customHeight="1" x14ac:dyDescent="0.3">
      <c r="A190" s="1" t="s">
        <v>708</v>
      </c>
      <c r="B190" s="1" t="s">
        <v>709</v>
      </c>
      <c r="C190" s="1" t="s">
        <v>710</v>
      </c>
      <c r="D190" s="6">
        <v>2520</v>
      </c>
      <c r="E190" s="1" t="s">
        <v>156</v>
      </c>
      <c r="F190" s="2" t="str">
        <f>HYPERLINK("https://www.sciencedirect.com/journal/ssm-population-health")</f>
        <v>https://www.sciencedirect.com/journal/ssm-population-health</v>
      </c>
      <c r="G190" s="1" t="s">
        <v>711</v>
      </c>
    </row>
    <row r="191" spans="1:7" ht="12.75" customHeight="1" x14ac:dyDescent="0.3">
      <c r="A191" s="1" t="s">
        <v>712</v>
      </c>
      <c r="B191" s="1" t="s">
        <v>181</v>
      </c>
      <c r="C191" s="1" t="s">
        <v>713</v>
      </c>
      <c r="D191" s="6">
        <v>1952</v>
      </c>
      <c r="E191" s="1" t="s">
        <v>156</v>
      </c>
      <c r="F191" s="2" t="str">
        <f>HYPERLINK("https://www.sciencedirect.com/journal/informatics-in-medicine-unlocked")</f>
        <v>https://www.sciencedirect.com/journal/informatics-in-medicine-unlocked</v>
      </c>
      <c r="G191" s="1" t="s">
        <v>714</v>
      </c>
    </row>
    <row r="192" spans="1:7" ht="12.75" customHeight="1" x14ac:dyDescent="0.3">
      <c r="A192" s="1" t="s">
        <v>715</v>
      </c>
      <c r="B192" s="1" t="s">
        <v>250</v>
      </c>
      <c r="C192" s="1" t="s">
        <v>716</v>
      </c>
      <c r="D192" s="6">
        <v>896</v>
      </c>
      <c r="E192" s="1" t="s">
        <v>158</v>
      </c>
      <c r="F192" s="2" t="str">
        <f>HYPERLINK("https://www.sciencedirect.com/journal/clinical-nutrition-open-science")</f>
        <v>https://www.sciencedirect.com/journal/clinical-nutrition-open-science</v>
      </c>
      <c r="G192" s="1" t="s">
        <v>717</v>
      </c>
    </row>
    <row r="193" spans="1:7" ht="12.75" customHeight="1" x14ac:dyDescent="0.3">
      <c r="A193" s="1" t="s">
        <v>718</v>
      </c>
      <c r="B193" s="1" t="s">
        <v>166</v>
      </c>
      <c r="C193" s="1" t="s">
        <v>719</v>
      </c>
      <c r="D193" s="6">
        <v>1536</v>
      </c>
      <c r="E193" s="1" t="s">
        <v>158</v>
      </c>
      <c r="F193" s="2" t="str">
        <f>HYPERLINK("https://www.sciencedirect.com/journal/journal-of-urban-management")</f>
        <v>https://www.sciencedirect.com/journal/journal-of-urban-management</v>
      </c>
      <c r="G193" s="1" t="s">
        <v>720</v>
      </c>
    </row>
    <row r="194" spans="1:7" ht="12.75" customHeight="1" x14ac:dyDescent="0.3">
      <c r="A194" s="1" t="s">
        <v>721</v>
      </c>
      <c r="B194" s="1" t="s">
        <v>247</v>
      </c>
      <c r="C194" s="1" t="s">
        <v>722</v>
      </c>
      <c r="D194" s="6">
        <v>2552</v>
      </c>
      <c r="E194" s="1" t="s">
        <v>156</v>
      </c>
      <c r="F194" s="2" t="str">
        <f>HYPERLINK("https://www.sciencedirect.com/journal/tumour-virus-research")</f>
        <v>https://www.sciencedirect.com/journal/tumour-virus-research</v>
      </c>
      <c r="G194" s="1" t="s">
        <v>723</v>
      </c>
    </row>
    <row r="195" spans="1:7" ht="12.75" customHeight="1" x14ac:dyDescent="0.3">
      <c r="A195" s="1" t="s">
        <v>724</v>
      </c>
      <c r="B195" s="1" t="s">
        <v>160</v>
      </c>
      <c r="C195" s="1" t="s">
        <v>725</v>
      </c>
      <c r="D195" s="6">
        <v>896</v>
      </c>
      <c r="E195" s="1" t="s">
        <v>158</v>
      </c>
      <c r="F195" s="2" t="str">
        <f>HYPERLINK("https://www.sciencedirect.com/journal/theoretical-and-applied-mechanics-letters")</f>
        <v>https://www.sciencedirect.com/journal/theoretical-and-applied-mechanics-letters</v>
      </c>
      <c r="G195" s="1" t="s">
        <v>726</v>
      </c>
    </row>
    <row r="196" spans="1:7" ht="12.75" customHeight="1" x14ac:dyDescent="0.3">
      <c r="A196" s="1" t="s">
        <v>727</v>
      </c>
      <c r="B196" s="1" t="s">
        <v>107</v>
      </c>
      <c r="C196" s="1" t="s">
        <v>728</v>
      </c>
      <c r="D196" s="6">
        <v>2024</v>
      </c>
      <c r="E196" s="1" t="s">
        <v>156</v>
      </c>
      <c r="F196" s="2" t="str">
        <f>HYPERLINK("https://www.sciencedirect.com/journal/biochemistry-and-biophysics-reports")</f>
        <v>https://www.sciencedirect.com/journal/biochemistry-and-biophysics-reports</v>
      </c>
      <c r="G196" s="1" t="s">
        <v>729</v>
      </c>
    </row>
    <row r="197" spans="1:7" ht="12.75" customHeight="1" x14ac:dyDescent="0.3">
      <c r="A197" s="1" t="s">
        <v>730</v>
      </c>
      <c r="B197" s="1" t="s">
        <v>157</v>
      </c>
      <c r="C197" s="1" t="s">
        <v>731</v>
      </c>
      <c r="D197" s="6">
        <v>1496</v>
      </c>
      <c r="E197" s="1" t="s">
        <v>158</v>
      </c>
      <c r="F197" s="2" t="str">
        <f>HYPERLINK("https://www.sciencedirect.com/journal/asia-pacific-management-review")</f>
        <v>https://www.sciencedirect.com/journal/asia-pacific-management-review</v>
      </c>
      <c r="G197" s="1" t="s">
        <v>732</v>
      </c>
    </row>
    <row r="198" spans="1:7" ht="12.75" customHeight="1" x14ac:dyDescent="0.3">
      <c r="A198" s="1" t="s">
        <v>733</v>
      </c>
      <c r="B198" s="1" t="s">
        <v>198</v>
      </c>
      <c r="C198" s="1" t="s">
        <v>734</v>
      </c>
      <c r="D198" s="6">
        <v>1536</v>
      </c>
      <c r="E198" s="1" t="s">
        <v>156</v>
      </c>
      <c r="F198" s="2" t="str">
        <f>HYPERLINK("https://www.sciencedirect.com/journal/reviews-in-physics")</f>
        <v>https://www.sciencedirect.com/journal/reviews-in-physics</v>
      </c>
      <c r="G198" s="1" t="s">
        <v>735</v>
      </c>
    </row>
    <row r="199" spans="1:7" ht="12.75" customHeight="1" x14ac:dyDescent="0.3">
      <c r="A199" s="1" t="s">
        <v>736</v>
      </c>
      <c r="B199" s="1" t="s">
        <v>539</v>
      </c>
      <c r="C199" s="1" t="s">
        <v>737</v>
      </c>
      <c r="D199" s="6">
        <v>1952</v>
      </c>
      <c r="E199" s="1" t="s">
        <v>156</v>
      </c>
      <c r="F199" s="2" t="str">
        <f>HYPERLINK("https://www.sciencedirect.com/journal/journal-of-clinical-tuberculosis-and-other-mycobacterial-diseases")</f>
        <v>https://www.sciencedirect.com/journal/journal-of-clinical-tuberculosis-and-other-mycobacterial-diseases</v>
      </c>
      <c r="G199" s="1" t="s">
        <v>738</v>
      </c>
    </row>
    <row r="200" spans="1:7" ht="12.75" customHeight="1" x14ac:dyDescent="0.3">
      <c r="A200" s="1" t="s">
        <v>739</v>
      </c>
      <c r="B200" s="1" t="s">
        <v>214</v>
      </c>
      <c r="C200" s="1" t="s">
        <v>740</v>
      </c>
      <c r="D200" s="6">
        <v>1312</v>
      </c>
      <c r="E200" s="1" t="s">
        <v>158</v>
      </c>
      <c r="F200" s="2" t="str">
        <f>HYPERLINK("https://www.sciencedirect.com/journal/journal-of-materiomics")</f>
        <v>https://www.sciencedirect.com/journal/journal-of-materiomics</v>
      </c>
      <c r="G200" s="1" t="s">
        <v>741</v>
      </c>
    </row>
    <row r="201" spans="1:7" ht="12.75" customHeight="1" x14ac:dyDescent="0.3">
      <c r="A201" s="1" t="s">
        <v>742</v>
      </c>
      <c r="B201" s="1" t="s">
        <v>247</v>
      </c>
      <c r="C201" s="1" t="s">
        <v>743</v>
      </c>
      <c r="D201" s="6">
        <v>2416</v>
      </c>
      <c r="E201" s="1" t="s">
        <v>156</v>
      </c>
      <c r="F201" s="2" t="str">
        <f>HYPERLINK("https://www.sciencedirect.com/journal/one-health")</f>
        <v>https://www.sciencedirect.com/journal/one-health</v>
      </c>
      <c r="G201" s="1" t="s">
        <v>744</v>
      </c>
    </row>
    <row r="202" spans="1:7" ht="12.75" customHeight="1" x14ac:dyDescent="0.3">
      <c r="A202" s="1" t="s">
        <v>745</v>
      </c>
      <c r="B202" s="1" t="s">
        <v>203</v>
      </c>
      <c r="C202" s="1" t="s">
        <v>746</v>
      </c>
      <c r="D202" s="6">
        <v>1744</v>
      </c>
      <c r="E202" s="1" t="s">
        <v>156</v>
      </c>
      <c r="F202" s="2" t="str">
        <f>HYPERLINK("https://www.sciencedirect.com/journal/climate-services")</f>
        <v>https://www.sciencedirect.com/journal/climate-services</v>
      </c>
      <c r="G202" s="1" t="s">
        <v>747</v>
      </c>
    </row>
    <row r="203" spans="1:7" ht="12.75" customHeight="1" x14ac:dyDescent="0.3">
      <c r="A203" s="1" t="s">
        <v>748</v>
      </c>
      <c r="B203" s="1" t="s">
        <v>749</v>
      </c>
      <c r="C203" s="1" t="s">
        <v>750</v>
      </c>
      <c r="D203" s="6">
        <v>1680</v>
      </c>
      <c r="E203" s="1" t="s">
        <v>156</v>
      </c>
      <c r="F203" s="2" t="str">
        <f>HYPERLINK("https://www.sciencedirect.com/journal/heliyon")</f>
        <v>https://www.sciencedirect.com/journal/heliyon</v>
      </c>
      <c r="G203" s="1" t="s">
        <v>751</v>
      </c>
    </row>
    <row r="204" spans="1:7" ht="12.75" customHeight="1" x14ac:dyDescent="0.3">
      <c r="A204" s="1" t="s">
        <v>752</v>
      </c>
      <c r="B204" s="1" t="s">
        <v>160</v>
      </c>
      <c r="C204" s="1" t="s">
        <v>753</v>
      </c>
      <c r="D204" s="6">
        <v>1120</v>
      </c>
      <c r="E204" s="1" t="s">
        <v>158</v>
      </c>
      <c r="F204" s="2" t="str">
        <f>HYPERLINK("https://www.sciencedirect.com/journal/ict-express")</f>
        <v>https://www.sciencedirect.com/journal/ict-express</v>
      </c>
      <c r="G204" s="1" t="s">
        <v>754</v>
      </c>
    </row>
    <row r="205" spans="1:7" ht="12.75" customHeight="1" x14ac:dyDescent="0.3">
      <c r="A205" s="1" t="s">
        <v>756</v>
      </c>
      <c r="B205" s="1" t="s">
        <v>221</v>
      </c>
      <c r="C205" s="1" t="s">
        <v>757</v>
      </c>
      <c r="D205" s="6">
        <v>1344</v>
      </c>
      <c r="E205" s="1" t="s">
        <v>158</v>
      </c>
      <c r="F205" s="2" t="str">
        <f>HYPERLINK("https://www.sciencedirect.com/journal/parasite-epidemiology-and-control")</f>
        <v>https://www.sciencedirect.com/journal/parasite-epidemiology-and-control</v>
      </c>
      <c r="G205" s="1" t="s">
        <v>758</v>
      </c>
    </row>
    <row r="206" spans="1:7" ht="12.75" customHeight="1" x14ac:dyDescent="0.3">
      <c r="A206" s="1" t="s">
        <v>759</v>
      </c>
      <c r="B206" s="1" t="s">
        <v>261</v>
      </c>
      <c r="C206" s="1" t="s">
        <v>760</v>
      </c>
      <c r="D206" s="6">
        <v>2080</v>
      </c>
      <c r="E206" s="1" t="s">
        <v>156</v>
      </c>
      <c r="F206" s="2" t="str">
        <f>HYPERLINK("https://www.sciencedirect.com/journal/veterinary-and-animal-science")</f>
        <v>https://www.sciencedirect.com/journal/veterinary-and-animal-science</v>
      </c>
      <c r="G206" s="1" t="s">
        <v>761</v>
      </c>
    </row>
    <row r="207" spans="1:7" ht="12.75" customHeight="1" x14ac:dyDescent="0.3">
      <c r="A207" s="1" t="s">
        <v>762</v>
      </c>
      <c r="B207" s="1" t="s">
        <v>268</v>
      </c>
      <c r="C207" s="1" t="s">
        <v>763</v>
      </c>
      <c r="D207" s="6">
        <v>864</v>
      </c>
      <c r="E207" s="1" t="s">
        <v>158</v>
      </c>
      <c r="F207" s="2" t="str">
        <f>HYPERLINK("https://www.sciencedirect.com/journal/south-african-journal-of-chemical-engineering")</f>
        <v>https://www.sciencedirect.com/journal/south-african-journal-of-chemical-engineering</v>
      </c>
      <c r="G207" s="1" t="s">
        <v>764</v>
      </c>
    </row>
    <row r="208" spans="1:7" ht="12.75" customHeight="1" x14ac:dyDescent="0.3">
      <c r="A208" s="1" t="s">
        <v>765</v>
      </c>
      <c r="B208" s="1" t="s">
        <v>187</v>
      </c>
      <c r="C208" s="1" t="s">
        <v>766</v>
      </c>
      <c r="D208" s="6">
        <v>1848</v>
      </c>
      <c r="E208" s="1" t="s">
        <v>158</v>
      </c>
      <c r="F208" s="2" t="str">
        <f>HYPERLINK("https://www.sciencedirect.com/journal/ibro-neuroscience-reports")</f>
        <v>https://www.sciencedirect.com/journal/ibro-neuroscience-reports</v>
      </c>
      <c r="G208" s="1" t="s">
        <v>767</v>
      </c>
    </row>
    <row r="209" spans="1:7" ht="12.75" customHeight="1" x14ac:dyDescent="0.3">
      <c r="A209" s="1" t="s">
        <v>768</v>
      </c>
      <c r="B209" s="1" t="s">
        <v>243</v>
      </c>
      <c r="C209" s="1" t="s">
        <v>769</v>
      </c>
      <c r="D209" s="6">
        <v>896</v>
      </c>
      <c r="E209" s="1" t="s">
        <v>386</v>
      </c>
      <c r="F209" s="2" t="str">
        <f>HYPERLINK("https://www.sciencedirect.com/journal/international-journal-of-naval-architecture-and-ocean-engineering")</f>
        <v>https://www.sciencedirect.com/journal/international-journal-of-naval-architecture-and-ocean-engineering</v>
      </c>
      <c r="G209" s="1" t="s">
        <v>770</v>
      </c>
    </row>
    <row r="210" spans="1:7" ht="12.75" customHeight="1" x14ac:dyDescent="0.3">
      <c r="A210" s="1" t="s">
        <v>771</v>
      </c>
      <c r="B210" s="1" t="s">
        <v>243</v>
      </c>
      <c r="C210" s="1" t="s">
        <v>772</v>
      </c>
      <c r="D210" s="6">
        <v>976</v>
      </c>
      <c r="E210" s="1" t="s">
        <v>158</v>
      </c>
      <c r="F210" s="2" t="str">
        <f>HYPERLINK("https://www.sciencedirect.com/journal/engineering")</f>
        <v>https://www.sciencedirect.com/journal/engineering</v>
      </c>
      <c r="G210" s="1" t="s">
        <v>773</v>
      </c>
    </row>
    <row r="211" spans="1:7" ht="12.75" customHeight="1" x14ac:dyDescent="0.3">
      <c r="A211" s="1" t="s">
        <v>774</v>
      </c>
      <c r="B211" s="1" t="s">
        <v>243</v>
      </c>
      <c r="C211" s="1" t="s">
        <v>775</v>
      </c>
      <c r="D211" s="6">
        <v>544</v>
      </c>
      <c r="E211" s="1" t="s">
        <v>505</v>
      </c>
      <c r="F211" s="2" t="str">
        <f>HYPERLINK("https://www.sciencedirect.com/journal/hardwarex")</f>
        <v>https://www.sciencedirect.com/journal/hardwarex</v>
      </c>
      <c r="G211" s="1" t="s">
        <v>776</v>
      </c>
    </row>
    <row r="212" spans="1:7" ht="12.75" customHeight="1" x14ac:dyDescent="0.3">
      <c r="A212" s="1" t="s">
        <v>777</v>
      </c>
      <c r="B212" s="1" t="s">
        <v>193</v>
      </c>
      <c r="C212" s="1" t="s">
        <v>778</v>
      </c>
      <c r="D212" s="6">
        <v>2024</v>
      </c>
      <c r="E212" s="1" t="s">
        <v>158</v>
      </c>
      <c r="F212" s="2" t="str">
        <f>HYPERLINK("https://www.sciencedirect.com/journal/biomedical-journal")</f>
        <v>https://www.sciencedirect.com/journal/biomedical-journal</v>
      </c>
      <c r="G212" s="1" t="s">
        <v>779</v>
      </c>
    </row>
    <row r="213" spans="1:7" ht="12.75" customHeight="1" x14ac:dyDescent="0.3">
      <c r="A213" s="1" t="s">
        <v>780</v>
      </c>
      <c r="B213" s="1" t="s">
        <v>189</v>
      </c>
      <c r="C213" s="1" t="s">
        <v>781</v>
      </c>
      <c r="D213" s="6">
        <v>976</v>
      </c>
      <c r="E213" s="1" t="s">
        <v>158</v>
      </c>
      <c r="F213" s="2" t="str">
        <f>HYPERLINK("https://www.sciencedirect.com/journal/journal-of-science-advanced-materials-and-devices")</f>
        <v>https://www.sciencedirect.com/journal/journal-of-science-advanced-materials-and-devices</v>
      </c>
      <c r="G213" s="1" t="s">
        <v>782</v>
      </c>
    </row>
    <row r="214" spans="1:7" ht="12.75" customHeight="1" x14ac:dyDescent="0.3">
      <c r="A214" s="1" t="s">
        <v>783</v>
      </c>
      <c r="B214" s="1" t="s">
        <v>176</v>
      </c>
      <c r="C214" s="1" t="s">
        <v>784</v>
      </c>
      <c r="D214" s="6">
        <v>1848</v>
      </c>
      <c r="E214" s="1" t="s">
        <v>158</v>
      </c>
      <c r="F214" s="2" t="str">
        <f>HYPERLINK("https://www.sciencedirect.com/journal/clinical-neurophysiology-practice")</f>
        <v>https://www.sciencedirect.com/journal/clinical-neurophysiology-practice</v>
      </c>
      <c r="G214" s="1" t="s">
        <v>785</v>
      </c>
    </row>
    <row r="215" spans="1:7" ht="12.75" customHeight="1" x14ac:dyDescent="0.3">
      <c r="A215" s="1" t="s">
        <v>786</v>
      </c>
      <c r="B215" s="1" t="s">
        <v>238</v>
      </c>
      <c r="C215" s="1" t="s">
        <v>787</v>
      </c>
      <c r="D215" s="6">
        <v>1344</v>
      </c>
      <c r="E215" s="1" t="s">
        <v>158</v>
      </c>
      <c r="F215" s="2" t="str">
        <f>HYPERLINK("https://www.sciencedirect.com/journal/journal-of-ayurveda-and-integrative-medicine")</f>
        <v>https://www.sciencedirect.com/journal/journal-of-ayurveda-and-integrative-medicine</v>
      </c>
      <c r="G215" s="1" t="s">
        <v>788</v>
      </c>
    </row>
    <row r="216" spans="1:7" ht="12.75" customHeight="1" x14ac:dyDescent="0.3">
      <c r="A216" s="1" t="s">
        <v>789</v>
      </c>
      <c r="B216" s="1" t="s">
        <v>222</v>
      </c>
      <c r="C216" s="1" t="s">
        <v>790</v>
      </c>
      <c r="D216" s="6">
        <v>5848</v>
      </c>
      <c r="E216" s="1" t="s">
        <v>156</v>
      </c>
      <c r="F216" s="2" t="str">
        <f>HYPERLINK("https://www.sciencedirect.com/journal/the-lancet-public-health")</f>
        <v>https://www.sciencedirect.com/journal/the-lancet-public-health</v>
      </c>
      <c r="G216" s="1"/>
    </row>
    <row r="217" spans="1:7" ht="12.75" customHeight="1" x14ac:dyDescent="0.3">
      <c r="A217" s="1" t="s">
        <v>791</v>
      </c>
      <c r="B217" s="1" t="s">
        <v>222</v>
      </c>
      <c r="C217" s="1" t="s">
        <v>792</v>
      </c>
      <c r="D217" s="6">
        <v>1288</v>
      </c>
      <c r="E217" s="1" t="s">
        <v>158</v>
      </c>
      <c r="F217" s="2" t="str">
        <f>HYPERLINK("https://www.sciencedirect.com/journal/burns-open")</f>
        <v>https://www.sciencedirect.com/journal/burns-open</v>
      </c>
      <c r="G217" s="1" t="s">
        <v>793</v>
      </c>
    </row>
    <row r="218" spans="1:7" ht="12.75" customHeight="1" x14ac:dyDescent="0.3">
      <c r="A218" s="1" t="s">
        <v>794</v>
      </c>
      <c r="B218" s="1" t="s">
        <v>222</v>
      </c>
      <c r="C218" s="1" t="s">
        <v>795</v>
      </c>
      <c r="D218" s="6">
        <v>5848</v>
      </c>
      <c r="E218" s="1" t="s">
        <v>156</v>
      </c>
      <c r="F218" s="2" t="str">
        <f>HYPERLINK("https://www.sciencedirect.com/journal/the-lancet-planetary-health")</f>
        <v>https://www.sciencedirect.com/journal/the-lancet-planetary-health</v>
      </c>
      <c r="G218" s="1"/>
    </row>
    <row r="219" spans="1:7" ht="12.75" customHeight="1" x14ac:dyDescent="0.3">
      <c r="A219" s="1" t="s">
        <v>25</v>
      </c>
      <c r="B219" s="1" t="s">
        <v>247</v>
      </c>
      <c r="C219" s="1" t="s">
        <v>24</v>
      </c>
      <c r="D219" s="6">
        <v>2368</v>
      </c>
      <c r="E219" s="1" t="s">
        <v>156</v>
      </c>
      <c r="F219" s="2" t="str">
        <f>HYPERLINK("https://www.sciencedirect.com/journal/the-cell-surface")</f>
        <v>https://www.sciencedirect.com/journal/the-cell-surface</v>
      </c>
      <c r="G219" s="1" t="s">
        <v>796</v>
      </c>
    </row>
    <row r="220" spans="1:7" ht="12.75" customHeight="1" x14ac:dyDescent="0.3">
      <c r="A220" s="1" t="s">
        <v>797</v>
      </c>
      <c r="B220" s="1" t="s">
        <v>222</v>
      </c>
      <c r="C220" s="1" t="s">
        <v>798</v>
      </c>
      <c r="D220" s="6">
        <v>936</v>
      </c>
      <c r="E220" s="1" t="s">
        <v>158</v>
      </c>
      <c r="F220" s="2" t="str">
        <f>HYPERLINK("https://www.sciencedirect.com/journal/jses-international")</f>
        <v>https://www.sciencedirect.com/journal/jses-international</v>
      </c>
      <c r="G220" s="1" t="s">
        <v>799</v>
      </c>
    </row>
    <row r="221" spans="1:7" ht="12.75" customHeight="1" x14ac:dyDescent="0.3">
      <c r="A221" s="1" t="s">
        <v>113</v>
      </c>
      <c r="B221" s="1" t="s">
        <v>800</v>
      </c>
      <c r="C221" s="1" t="s">
        <v>112</v>
      </c>
      <c r="D221" s="6">
        <v>1896</v>
      </c>
      <c r="E221" s="1" t="s">
        <v>156</v>
      </c>
      <c r="F221" s="2" t="str">
        <f>HYPERLINK("https://www.sciencedirect.com/journal/materials-today-sustainability")</f>
        <v>https://www.sciencedirect.com/journal/materials-today-sustainability</v>
      </c>
      <c r="G221" s="1" t="s">
        <v>801</v>
      </c>
    </row>
    <row r="222" spans="1:7" ht="12.75" customHeight="1" x14ac:dyDescent="0.3">
      <c r="A222" s="1" t="s">
        <v>802</v>
      </c>
      <c r="B222" s="1" t="s">
        <v>803</v>
      </c>
      <c r="C222" s="1" t="s">
        <v>804</v>
      </c>
      <c r="D222" s="6">
        <v>536</v>
      </c>
      <c r="E222" s="1" t="s">
        <v>158</v>
      </c>
      <c r="F222" s="2" t="str">
        <f>HYPERLINK("https://www.sciencedirect.com/journal/scientific-african")</f>
        <v>https://www.sciencedirect.com/journal/scientific-african</v>
      </c>
      <c r="G222" s="1" t="s">
        <v>805</v>
      </c>
    </row>
    <row r="223" spans="1:7" ht="12.75" customHeight="1" x14ac:dyDescent="0.3">
      <c r="A223" s="1" t="s">
        <v>806</v>
      </c>
      <c r="B223" s="1" t="s">
        <v>222</v>
      </c>
      <c r="C223" s="1" t="s">
        <v>807</v>
      </c>
      <c r="D223" s="6">
        <v>5057.5</v>
      </c>
      <c r="E223" s="1" t="s">
        <v>156</v>
      </c>
      <c r="F223" s="2" t="str">
        <f>HYPERLINK("https://www.sciencedirect.com/journal/eclinicalmedicine")</f>
        <v>https://www.sciencedirect.com/journal/eclinicalmedicine</v>
      </c>
      <c r="G223" s="1" t="s">
        <v>808</v>
      </c>
    </row>
    <row r="224" spans="1:7" ht="12.75" customHeight="1" x14ac:dyDescent="0.3">
      <c r="A224" s="1" t="s">
        <v>809</v>
      </c>
      <c r="B224" s="1" t="s">
        <v>810</v>
      </c>
      <c r="C224" s="1" t="s">
        <v>811</v>
      </c>
      <c r="D224" s="6">
        <v>1992</v>
      </c>
      <c r="E224" s="1" t="s">
        <v>156</v>
      </c>
      <c r="F224" s="2" t="str">
        <f>HYPERLINK("https://www.sciencedirect.com/journal/forensic-science-international-synergy")</f>
        <v>https://www.sciencedirect.com/journal/forensic-science-international-synergy</v>
      </c>
      <c r="G224" s="1" t="s">
        <v>812</v>
      </c>
    </row>
    <row r="225" spans="1:7" ht="12.75" customHeight="1" x14ac:dyDescent="0.3">
      <c r="A225" s="1" t="s">
        <v>813</v>
      </c>
      <c r="B225" s="1" t="s">
        <v>188</v>
      </c>
      <c r="C225" s="1" t="s">
        <v>814</v>
      </c>
      <c r="D225" s="6">
        <v>1960</v>
      </c>
      <c r="E225" s="1" t="s">
        <v>156</v>
      </c>
      <c r="F225" s="2" t="str">
        <f>HYPERLINK("https://www.sciencedirect.com/journal/earth-system-governance")</f>
        <v>https://www.sciencedirect.com/journal/earth-system-governance</v>
      </c>
      <c r="G225" s="1" t="s">
        <v>815</v>
      </c>
    </row>
    <row r="226" spans="1:7" ht="12.75" customHeight="1" x14ac:dyDescent="0.3">
      <c r="A226" s="1" t="s">
        <v>816</v>
      </c>
      <c r="B226" s="1" t="s">
        <v>203</v>
      </c>
      <c r="C226" s="1" t="s">
        <v>817</v>
      </c>
      <c r="D226" s="6">
        <v>1720</v>
      </c>
      <c r="E226" s="1" t="s">
        <v>156</v>
      </c>
      <c r="F226" s="2" t="str">
        <f>HYPERLINK("https://www.sciencedirect.com/journal/journal-of-hydrology-x")</f>
        <v>https://www.sciencedirect.com/journal/journal-of-hydrology-x</v>
      </c>
      <c r="G226" s="1" t="s">
        <v>818</v>
      </c>
    </row>
    <row r="227" spans="1:7" ht="12.75" customHeight="1" x14ac:dyDescent="0.3">
      <c r="A227" s="1" t="s">
        <v>819</v>
      </c>
      <c r="B227" s="1" t="s">
        <v>820</v>
      </c>
      <c r="C227" s="1" t="s">
        <v>821</v>
      </c>
      <c r="D227" s="6">
        <v>2632</v>
      </c>
      <c r="E227" s="1" t="s">
        <v>156</v>
      </c>
      <c r="F227" s="2" t="str">
        <f>HYPERLINK("https://www.sciencedirect.com/journal/water-research-x")</f>
        <v>https://www.sciencedirect.com/journal/water-research-x</v>
      </c>
      <c r="G227" s="1" t="s">
        <v>822</v>
      </c>
    </row>
    <row r="228" spans="1:7" ht="12.75" customHeight="1" x14ac:dyDescent="0.3">
      <c r="A228" s="1" t="s">
        <v>823</v>
      </c>
      <c r="B228" s="1" t="s">
        <v>251</v>
      </c>
      <c r="C228" s="1" t="s">
        <v>824</v>
      </c>
      <c r="D228" s="6">
        <v>2120</v>
      </c>
      <c r="E228" s="1" t="s">
        <v>156</v>
      </c>
      <c r="F228" s="2" t="str">
        <f>HYPERLINK("https://www.sciencedirect.com/journal/matrix-biology-plus")</f>
        <v>https://www.sciencedirect.com/journal/matrix-biology-plus</v>
      </c>
      <c r="G228" s="1" t="s">
        <v>825</v>
      </c>
    </row>
    <row r="229" spans="1:7" ht="12.75" customHeight="1" x14ac:dyDescent="0.3">
      <c r="A229" s="1" t="s">
        <v>826</v>
      </c>
      <c r="B229" s="1" t="s">
        <v>169</v>
      </c>
      <c r="C229" s="1" t="s">
        <v>827</v>
      </c>
      <c r="D229" s="6">
        <v>2048</v>
      </c>
      <c r="E229" s="1" t="s">
        <v>156</v>
      </c>
      <c r="F229" s="2" t="str">
        <f>HYPERLINK("https://www.sciencedirect.com/journal/journal-of-asian-earth-sciences-x")</f>
        <v>https://www.sciencedirect.com/journal/journal-of-asian-earth-sciences-x</v>
      </c>
      <c r="G229" s="1" t="s">
        <v>828</v>
      </c>
    </row>
    <row r="230" spans="1:7" ht="12.75" customHeight="1" x14ac:dyDescent="0.3">
      <c r="A230" s="1" t="s">
        <v>829</v>
      </c>
      <c r="B230" s="1" t="s">
        <v>830</v>
      </c>
      <c r="C230" s="1" t="s">
        <v>831</v>
      </c>
      <c r="D230" s="6">
        <v>5848</v>
      </c>
      <c r="E230" s="1" t="s">
        <v>156</v>
      </c>
      <c r="F230" s="2" t="str">
        <f>HYPERLINK("https://www.sciencedirect.com/journal/the-lancet-digital-health")</f>
        <v>https://www.sciencedirect.com/journal/the-lancet-digital-health</v>
      </c>
      <c r="G230" s="1" t="s">
        <v>832</v>
      </c>
    </row>
    <row r="231" spans="1:7" ht="12.75" customHeight="1" x14ac:dyDescent="0.3">
      <c r="A231" s="1" t="s">
        <v>833</v>
      </c>
      <c r="B231" s="1" t="s">
        <v>206</v>
      </c>
      <c r="C231" s="1" t="s">
        <v>834</v>
      </c>
      <c r="D231" s="6">
        <v>3072</v>
      </c>
      <c r="E231" s="1" t="s">
        <v>158</v>
      </c>
      <c r="F231" s="2" t="str">
        <f>HYPERLINK("https://www.sciencedirect.com/journal/jhep-reports")</f>
        <v>https://www.sciencedirect.com/journal/jhep-reports</v>
      </c>
      <c r="G231" s="1" t="s">
        <v>835</v>
      </c>
    </row>
    <row r="232" spans="1:7" ht="12.75" customHeight="1" x14ac:dyDescent="0.3">
      <c r="A232" s="1" t="s">
        <v>836</v>
      </c>
      <c r="B232" s="1" t="s">
        <v>210</v>
      </c>
      <c r="C232" s="1" t="s">
        <v>837</v>
      </c>
      <c r="D232" s="6">
        <v>1952</v>
      </c>
      <c r="E232" s="1" t="s">
        <v>156</v>
      </c>
      <c r="F232" s="2" t="str">
        <f>HYPERLINK("https://www.sciencedirect.com/journal/journal-of-non-crystalline-solids-x")</f>
        <v>https://www.sciencedirect.com/journal/journal-of-non-crystalline-solids-x</v>
      </c>
      <c r="G232" s="1" t="s">
        <v>838</v>
      </c>
    </row>
    <row r="233" spans="1:7" ht="12.75" customHeight="1" x14ac:dyDescent="0.3">
      <c r="A233" s="1" t="s">
        <v>839</v>
      </c>
      <c r="B233" s="1" t="s">
        <v>840</v>
      </c>
      <c r="C233" s="1" t="s">
        <v>841</v>
      </c>
      <c r="D233" s="6">
        <v>2144</v>
      </c>
      <c r="E233" s="1" t="s">
        <v>156</v>
      </c>
      <c r="F233" s="2" t="str">
        <f>HYPERLINK("https://www.sciencedirect.com/journal/biosensors-and-bioelectronics-x")</f>
        <v>https://www.sciencedirect.com/journal/biosensors-and-bioelectronics-x</v>
      </c>
      <c r="G233" s="1" t="s">
        <v>842</v>
      </c>
    </row>
    <row r="234" spans="1:7" ht="12.75" customHeight="1" x14ac:dyDescent="0.3">
      <c r="A234" s="1" t="s">
        <v>843</v>
      </c>
      <c r="B234" s="1" t="s">
        <v>253</v>
      </c>
      <c r="C234" s="1" t="s">
        <v>844</v>
      </c>
      <c r="D234" s="6">
        <v>2088</v>
      </c>
      <c r="E234" s="1" t="s">
        <v>156</v>
      </c>
      <c r="F234" s="2" t="str">
        <f>HYPERLINK("https://www.sciencedirect.com/journal/international-journal-of-pharmaceutics-x")</f>
        <v>https://www.sciencedirect.com/journal/international-journal-of-pharmaceutics-x</v>
      </c>
      <c r="G234" s="1" t="s">
        <v>845</v>
      </c>
    </row>
    <row r="235" spans="1:7" ht="12.75" customHeight="1" x14ac:dyDescent="0.3">
      <c r="A235" s="1" t="s">
        <v>846</v>
      </c>
      <c r="B235" s="1" t="s">
        <v>210</v>
      </c>
      <c r="C235" s="1" t="s">
        <v>847</v>
      </c>
      <c r="D235" s="6">
        <v>1720</v>
      </c>
      <c r="E235" s="1" t="s">
        <v>156</v>
      </c>
      <c r="F235" s="2" t="str">
        <f>HYPERLINK("https://www.sciencedirect.com/journal/optical-materials-x")</f>
        <v>https://www.sciencedirect.com/journal/optical-materials-x</v>
      </c>
      <c r="G235" s="1" t="s">
        <v>848</v>
      </c>
    </row>
    <row r="236" spans="1:7" ht="12.75" customHeight="1" x14ac:dyDescent="0.3">
      <c r="A236" s="1" t="s">
        <v>849</v>
      </c>
      <c r="B236" s="1" t="s">
        <v>210</v>
      </c>
      <c r="C236" s="1" t="s">
        <v>850</v>
      </c>
      <c r="D236" s="6">
        <v>1680</v>
      </c>
      <c r="E236" s="1" t="s">
        <v>156</v>
      </c>
      <c r="F236" s="2" t="str">
        <f>HYPERLINK("https://www.sciencedirect.com/journal/materials-letters-x")</f>
        <v>https://www.sciencedirect.com/journal/materials-letters-x</v>
      </c>
      <c r="G236" s="1" t="s">
        <v>851</v>
      </c>
    </row>
    <row r="237" spans="1:7" ht="12.75" customHeight="1" x14ac:dyDescent="0.3">
      <c r="A237" s="1" t="s">
        <v>852</v>
      </c>
      <c r="B237" s="1" t="s">
        <v>171</v>
      </c>
      <c r="C237" s="1" t="s">
        <v>853</v>
      </c>
      <c r="D237" s="6">
        <v>1616</v>
      </c>
      <c r="E237" s="1" t="s">
        <v>156</v>
      </c>
      <c r="F237" s="2" t="str">
        <f>HYPERLINK("https://www.sciencedirect.com/journal/atmospheric-environment-x")</f>
        <v>https://www.sciencedirect.com/journal/atmospheric-environment-x</v>
      </c>
      <c r="G237" s="1" t="s">
        <v>854</v>
      </c>
    </row>
    <row r="238" spans="1:7" ht="12.75" customHeight="1" x14ac:dyDescent="0.3">
      <c r="A238" s="1" t="s">
        <v>855</v>
      </c>
      <c r="B238" s="1" t="s">
        <v>215</v>
      </c>
      <c r="C238" s="1" t="s">
        <v>856</v>
      </c>
      <c r="D238" s="6">
        <v>2096</v>
      </c>
      <c r="E238" s="1" t="s">
        <v>156</v>
      </c>
      <c r="F238" s="2" t="str">
        <f>HYPERLINK("https://www.sciencedirect.com/journal/food-chemistry-x")</f>
        <v>https://www.sciencedirect.com/journal/food-chemistry-x</v>
      </c>
      <c r="G238" s="1" t="s">
        <v>857</v>
      </c>
    </row>
    <row r="239" spans="1:7" ht="12.75" customHeight="1" x14ac:dyDescent="0.3">
      <c r="A239" s="1" t="s">
        <v>858</v>
      </c>
      <c r="B239" s="1" t="s">
        <v>172</v>
      </c>
      <c r="C239" s="1" t="s">
        <v>859</v>
      </c>
      <c r="D239" s="6">
        <v>1824</v>
      </c>
      <c r="E239" s="1" t="s">
        <v>156</v>
      </c>
      <c r="F239" s="2" t="str">
        <f>HYPERLINK("https://www.sciencedirect.com/journal/vaccine-x")</f>
        <v>https://www.sciencedirect.com/journal/vaccine-x</v>
      </c>
      <c r="G239" s="1" t="s">
        <v>860</v>
      </c>
    </row>
    <row r="240" spans="1:7" ht="12.75" customHeight="1" x14ac:dyDescent="0.3">
      <c r="A240" s="1" t="s">
        <v>861</v>
      </c>
      <c r="B240" s="1" t="s">
        <v>193</v>
      </c>
      <c r="C240" s="1" t="s">
        <v>862</v>
      </c>
      <c r="D240" s="6">
        <v>2160</v>
      </c>
      <c r="E240" s="1" t="s">
        <v>156</v>
      </c>
      <c r="F240" s="2" t="str">
        <f>HYPERLINK("https://www.sciencedirect.com/journal/sleep-medicine-x")</f>
        <v>https://www.sciencedirect.com/journal/sleep-medicine-x</v>
      </c>
      <c r="G240" s="1" t="s">
        <v>863</v>
      </c>
    </row>
    <row r="241" spans="1:7" ht="12.75" customHeight="1" x14ac:dyDescent="0.3">
      <c r="A241" s="1" t="s">
        <v>864</v>
      </c>
      <c r="B241" s="1" t="s">
        <v>179</v>
      </c>
      <c r="C241" s="1" t="s">
        <v>865</v>
      </c>
      <c r="D241" s="6">
        <v>2376</v>
      </c>
      <c r="E241" s="1" t="s">
        <v>156</v>
      </c>
      <c r="F241" s="2" t="str">
        <f>HYPERLINK("https://www.sciencedirect.com/journal/energy-conversion-and-management-x")</f>
        <v>https://www.sciencedirect.com/journal/energy-conversion-and-management-x</v>
      </c>
      <c r="G241" s="1" t="s">
        <v>866</v>
      </c>
    </row>
    <row r="242" spans="1:7" ht="12.75" customHeight="1" x14ac:dyDescent="0.3">
      <c r="A242" s="1" t="s">
        <v>867</v>
      </c>
      <c r="B242" s="1" t="s">
        <v>868</v>
      </c>
      <c r="C242" s="1" t="s">
        <v>869</v>
      </c>
      <c r="D242" s="6">
        <v>2048</v>
      </c>
      <c r="E242" s="1" t="s">
        <v>156</v>
      </c>
      <c r="F242" s="2" t="str">
        <f>HYPERLINK("https://www.sciencedirect.com/journal/toxicon-x")</f>
        <v>https://www.sciencedirect.com/journal/toxicon-x</v>
      </c>
      <c r="G242" s="1" t="s">
        <v>870</v>
      </c>
    </row>
    <row r="243" spans="1:7" ht="12.75" customHeight="1" x14ac:dyDescent="0.3">
      <c r="A243" s="1" t="s">
        <v>871</v>
      </c>
      <c r="B243" s="1" t="s">
        <v>222</v>
      </c>
      <c r="C243" s="1" t="s">
        <v>872</v>
      </c>
      <c r="D243" s="6">
        <v>1800</v>
      </c>
      <c r="E243" s="1" t="s">
        <v>156</v>
      </c>
      <c r="F243" s="2" t="str">
        <f>HYPERLINK("https://www.sciencedirect.com/journal/european-journal-of-obstetrics-and-gynecology-and-reproductive-biology-x")</f>
        <v>https://www.sciencedirect.com/journal/european-journal-of-obstetrics-and-gynecology-and-reproductive-biology-x</v>
      </c>
      <c r="G243" s="1" t="s">
        <v>873</v>
      </c>
    </row>
    <row r="244" spans="1:7" ht="12.75" customHeight="1" x14ac:dyDescent="0.3">
      <c r="A244" s="1" t="s">
        <v>874</v>
      </c>
      <c r="B244" s="1" t="s">
        <v>218</v>
      </c>
      <c r="C244" s="1" t="s">
        <v>875</v>
      </c>
      <c r="D244" s="6">
        <v>1608</v>
      </c>
      <c r="E244" s="1" t="s">
        <v>156</v>
      </c>
      <c r="F244" s="2" t="str">
        <f>HYPERLINK("https://www.sciencedirect.com/journal/intelligent-systems-with-applications")</f>
        <v>https://www.sciencedirect.com/journal/intelligent-systems-with-applications</v>
      </c>
      <c r="G244" s="1" t="s">
        <v>876</v>
      </c>
    </row>
    <row r="245" spans="1:7" ht="12.75" customHeight="1" x14ac:dyDescent="0.3">
      <c r="A245" s="1" t="s">
        <v>877</v>
      </c>
      <c r="B245" s="1" t="s">
        <v>185</v>
      </c>
      <c r="C245" s="1" t="s">
        <v>878</v>
      </c>
      <c r="D245" s="6">
        <v>1712</v>
      </c>
      <c r="E245" s="1" t="s">
        <v>156</v>
      </c>
      <c r="F245" s="2" t="str">
        <f>HYPERLINK("https://www.sciencedirect.com/journal/resources-conservation-and-recycling-advances")</f>
        <v>https://www.sciencedirect.com/journal/resources-conservation-and-recycling-advances</v>
      </c>
      <c r="G245" s="1" t="s">
        <v>879</v>
      </c>
    </row>
    <row r="246" spans="1:7" ht="12.75" customHeight="1" x14ac:dyDescent="0.3">
      <c r="A246" s="1" t="s">
        <v>880</v>
      </c>
      <c r="B246" s="1" t="s">
        <v>266</v>
      </c>
      <c r="C246" s="1" t="s">
        <v>881</v>
      </c>
      <c r="D246" s="6">
        <v>1424</v>
      </c>
      <c r="E246" s="1" t="s">
        <v>156</v>
      </c>
      <c r="F246" s="2" t="str">
        <f>HYPERLINK("https://www.sciencedirect.com/journal/fuel-communications")</f>
        <v>https://www.sciencedirect.com/journal/fuel-communications</v>
      </c>
      <c r="G246" s="1" t="s">
        <v>882</v>
      </c>
    </row>
    <row r="247" spans="1:7" ht="12.75" customHeight="1" x14ac:dyDescent="0.3">
      <c r="A247" s="1" t="s">
        <v>883</v>
      </c>
      <c r="B247" s="1" t="s">
        <v>193</v>
      </c>
      <c r="C247" s="1" t="s">
        <v>884</v>
      </c>
      <c r="D247" s="6">
        <v>1184</v>
      </c>
      <c r="E247" s="1" t="s">
        <v>156</v>
      </c>
      <c r="F247" s="2" t="str">
        <f>HYPERLINK("https://www.sciencedirect.com/journal/journal-of-clinical-and-translational-endocrinology-case-reports")</f>
        <v>https://www.sciencedirect.com/journal/journal-of-clinical-and-translational-endocrinology-case-reports</v>
      </c>
      <c r="G247" s="1" t="s">
        <v>885</v>
      </c>
    </row>
    <row r="248" spans="1:7" ht="12.75" customHeight="1" x14ac:dyDescent="0.3">
      <c r="A248" s="1" t="s">
        <v>886</v>
      </c>
      <c r="B248" s="1" t="s">
        <v>193</v>
      </c>
      <c r="C248" s="1" t="s">
        <v>887</v>
      </c>
      <c r="D248" s="6">
        <v>2088</v>
      </c>
      <c r="E248" s="1" t="s">
        <v>156</v>
      </c>
      <c r="F248" s="2" t="str">
        <f>HYPERLINK("https://www.sciencedirect.com/journal/bone-reports")</f>
        <v>https://www.sciencedirect.com/journal/bone-reports</v>
      </c>
      <c r="G248" s="1" t="s">
        <v>888</v>
      </c>
    </row>
    <row r="249" spans="1:7" ht="12.75" customHeight="1" x14ac:dyDescent="0.3">
      <c r="A249" s="1" t="s">
        <v>889</v>
      </c>
      <c r="B249" s="1" t="s">
        <v>187</v>
      </c>
      <c r="C249" s="1" t="s">
        <v>890</v>
      </c>
      <c r="D249" s="6">
        <v>3104</v>
      </c>
      <c r="E249" s="1" t="s">
        <v>156</v>
      </c>
      <c r="F249" s="2" t="str">
        <f>HYPERLINK("https://www.sciencedirect.com/journal/neurobiology-of-stress")</f>
        <v>https://www.sciencedirect.com/journal/neurobiology-of-stress</v>
      </c>
      <c r="G249" s="1" t="s">
        <v>891</v>
      </c>
    </row>
    <row r="250" spans="1:7" ht="12.75" customHeight="1" x14ac:dyDescent="0.3">
      <c r="A250" s="1" t="s">
        <v>892</v>
      </c>
      <c r="B250" s="1" t="s">
        <v>222</v>
      </c>
      <c r="C250" s="1" t="s">
        <v>893</v>
      </c>
      <c r="D250" s="6">
        <v>560</v>
      </c>
      <c r="E250" s="1" t="s">
        <v>505</v>
      </c>
      <c r="F250" s="2" t="str">
        <f>HYPERLINK("https://www.sciencedirect.com/journal/jaad-case-reports")</f>
        <v>https://www.sciencedirect.com/journal/jaad-case-reports</v>
      </c>
      <c r="G250" s="1" t="s">
        <v>894</v>
      </c>
    </row>
    <row r="251" spans="1:7" ht="12.75" customHeight="1" x14ac:dyDescent="0.3">
      <c r="A251" s="1" t="s">
        <v>895</v>
      </c>
      <c r="B251" s="1" t="s">
        <v>220</v>
      </c>
      <c r="C251" s="1" t="s">
        <v>896</v>
      </c>
      <c r="D251" s="6">
        <v>928</v>
      </c>
      <c r="E251" s="1" t="s">
        <v>697</v>
      </c>
      <c r="F251" s="2" t="str">
        <f>HYPERLINK("https://www.sciencedirect.com/journal/data-in-brief")</f>
        <v>https://www.sciencedirect.com/journal/data-in-brief</v>
      </c>
      <c r="G251" s="1" t="s">
        <v>897</v>
      </c>
    </row>
    <row r="252" spans="1:7" ht="12.75" customHeight="1" x14ac:dyDescent="0.3">
      <c r="A252" s="1" t="s">
        <v>898</v>
      </c>
      <c r="B252" s="1" t="s">
        <v>222</v>
      </c>
      <c r="C252" s="1" t="s">
        <v>899</v>
      </c>
      <c r="D252" s="6">
        <v>1400</v>
      </c>
      <c r="E252" s="1" t="s">
        <v>158</v>
      </c>
      <c r="F252" s="2" t="str">
        <f>HYPERLINK("https://www.sciencedirect.com/journal/jpras-open")</f>
        <v>https://www.sciencedirect.com/journal/jpras-open</v>
      </c>
      <c r="G252" s="1" t="s">
        <v>900</v>
      </c>
    </row>
    <row r="253" spans="1:7" ht="12.75" customHeight="1" x14ac:dyDescent="0.3">
      <c r="A253" s="1" t="s">
        <v>901</v>
      </c>
      <c r="B253" s="1" t="s">
        <v>222</v>
      </c>
      <c r="C253" s="1" t="s">
        <v>902</v>
      </c>
      <c r="D253" s="6">
        <v>1872</v>
      </c>
      <c r="E253" s="1" t="s">
        <v>158</v>
      </c>
      <c r="F253" s="2" t="str">
        <f>HYPERLINK("https://www.sciencedirect.com/journal/arthroplasty-today")</f>
        <v>https://www.sciencedirect.com/journal/arthroplasty-today</v>
      </c>
      <c r="G253" s="1" t="s">
        <v>903</v>
      </c>
    </row>
    <row r="254" spans="1:7" ht="12.75" customHeight="1" x14ac:dyDescent="0.3">
      <c r="A254" s="1" t="s">
        <v>904</v>
      </c>
      <c r="B254" s="1" t="s">
        <v>222</v>
      </c>
      <c r="C254" s="1" t="s">
        <v>905</v>
      </c>
      <c r="D254" s="6">
        <v>936</v>
      </c>
      <c r="E254" s="1" t="s">
        <v>158</v>
      </c>
      <c r="F254" s="2" t="str">
        <f>HYPERLINK("https://www.sciencedirect.com/journal/journal-of-vascular-surgery-cases-innovations-and-techniques")</f>
        <v>https://www.sciencedirect.com/journal/journal-of-vascular-surgery-cases-innovations-and-techniques</v>
      </c>
      <c r="G254" s="1" t="s">
        <v>906</v>
      </c>
    </row>
    <row r="255" spans="1:7" ht="12.75" customHeight="1" x14ac:dyDescent="0.3">
      <c r="A255" s="1" t="s">
        <v>907</v>
      </c>
      <c r="B255" s="1" t="s">
        <v>193</v>
      </c>
      <c r="C255" s="1" t="s">
        <v>908</v>
      </c>
      <c r="D255" s="6">
        <v>2568</v>
      </c>
      <c r="E255" s="1" t="s">
        <v>158</v>
      </c>
      <c r="F255" s="2" t="str">
        <f>HYPERLINK("https://www.sciencedirect.com/journal/cellular-and-molecular-gastroenterology-and-hepatology")</f>
        <v>https://www.sciencedirect.com/journal/cellular-and-molecular-gastroenterology-and-hepatology</v>
      </c>
      <c r="G255" s="1" t="s">
        <v>909</v>
      </c>
    </row>
    <row r="256" spans="1:7" ht="12.75" customHeight="1" x14ac:dyDescent="0.3">
      <c r="A256" s="1" t="s">
        <v>910</v>
      </c>
      <c r="B256" s="1" t="s">
        <v>911</v>
      </c>
      <c r="C256" s="1" t="s">
        <v>912</v>
      </c>
      <c r="D256" s="6">
        <v>1744</v>
      </c>
      <c r="E256" s="1" t="s">
        <v>156</v>
      </c>
      <c r="F256" s="2" t="str">
        <f>HYPERLINK("https://www.sciencedirect.com/journal/opennano")</f>
        <v>https://www.sciencedirect.com/journal/opennano</v>
      </c>
      <c r="G256" s="1" t="s">
        <v>913</v>
      </c>
    </row>
    <row r="257" spans="1:7" ht="12.75" customHeight="1" x14ac:dyDescent="0.3">
      <c r="A257" s="1" t="s">
        <v>914</v>
      </c>
      <c r="B257" s="1" t="s">
        <v>222</v>
      </c>
      <c r="C257" s="1" t="s">
        <v>915</v>
      </c>
      <c r="D257" s="6">
        <v>448</v>
      </c>
      <c r="E257" s="1" t="s">
        <v>158</v>
      </c>
      <c r="F257" s="2" t="str">
        <f>HYPERLINK("https://www.sciencedirect.com/journal/radiology-case-reports")</f>
        <v>https://www.sciencedirect.com/journal/radiology-case-reports</v>
      </c>
      <c r="G257" s="1" t="s">
        <v>916</v>
      </c>
    </row>
    <row r="258" spans="1:7" ht="12.75" customHeight="1" x14ac:dyDescent="0.3">
      <c r="A258" s="1" t="s">
        <v>917</v>
      </c>
      <c r="B258" s="1" t="s">
        <v>221</v>
      </c>
      <c r="C258" s="1" t="s">
        <v>918</v>
      </c>
      <c r="D258" s="6">
        <v>1872</v>
      </c>
      <c r="E258" s="1" t="s">
        <v>158</v>
      </c>
      <c r="F258" s="2" t="str">
        <f>HYPERLINK("https://www.sciencedirect.com/journal/food-and-waterborne-parasitology")</f>
        <v>https://www.sciencedirect.com/journal/food-and-waterborne-parasitology</v>
      </c>
      <c r="G258" s="1" t="s">
        <v>919</v>
      </c>
    </row>
    <row r="259" spans="1:7" ht="12.75" customHeight="1" x14ac:dyDescent="0.3">
      <c r="A259" s="1" t="s">
        <v>920</v>
      </c>
      <c r="B259" s="1" t="s">
        <v>310</v>
      </c>
      <c r="C259" s="1" t="s">
        <v>921</v>
      </c>
      <c r="D259" s="6">
        <v>1864</v>
      </c>
      <c r="E259" s="1" t="s">
        <v>156</v>
      </c>
      <c r="F259" s="2" t="str">
        <f>HYPERLINK("https://www.sciencedirect.com/journal/contemporary-clinical-trials-communications")</f>
        <v>https://www.sciencedirect.com/journal/contemporary-clinical-trials-communications</v>
      </c>
      <c r="G259" s="1" t="s">
        <v>922</v>
      </c>
    </row>
    <row r="260" spans="1:7" ht="12.75" customHeight="1" x14ac:dyDescent="0.3">
      <c r="A260" s="1" t="s">
        <v>923</v>
      </c>
      <c r="B260" s="1" t="s">
        <v>222</v>
      </c>
      <c r="C260" s="1" t="s">
        <v>924</v>
      </c>
      <c r="D260" s="6">
        <v>1288</v>
      </c>
      <c r="E260" s="1" t="s">
        <v>156</v>
      </c>
      <c r="F260" s="2" t="str">
        <f>HYPERLINK("https://www.sciencedirect.com/journal/transplantation-reports")</f>
        <v>https://www.sciencedirect.com/journal/transplantation-reports</v>
      </c>
      <c r="G260" s="1" t="s">
        <v>925</v>
      </c>
    </row>
    <row r="261" spans="1:7" ht="12.75" customHeight="1" x14ac:dyDescent="0.3">
      <c r="A261" s="1" t="s">
        <v>926</v>
      </c>
      <c r="B261" s="1" t="s">
        <v>222</v>
      </c>
      <c r="C261" s="1" t="s">
        <v>927</v>
      </c>
      <c r="D261" s="6">
        <v>1192</v>
      </c>
      <c r="E261" s="1" t="s">
        <v>156</v>
      </c>
      <c r="F261" s="2" t="str">
        <f>HYPERLINK("https://www.sciencedirect.com/journal/american-journal-of-ophthalmology-case-reports")</f>
        <v>https://www.sciencedirect.com/journal/american-journal-of-ophthalmology-case-reports</v>
      </c>
      <c r="G261" s="1" t="s">
        <v>928</v>
      </c>
    </row>
    <row r="262" spans="1:7" ht="12.75" customHeight="1" x14ac:dyDescent="0.3">
      <c r="A262" s="1" t="s">
        <v>929</v>
      </c>
      <c r="B262" s="1" t="s">
        <v>187</v>
      </c>
      <c r="C262" s="1" t="s">
        <v>930</v>
      </c>
      <c r="D262" s="6">
        <v>1880</v>
      </c>
      <c r="E262" s="1" t="s">
        <v>156</v>
      </c>
      <c r="F262" s="2" t="str">
        <f>HYPERLINK("https://www.sciencedirect.com/journal/neurobiology-of-sleep-and-circadian-rhythms")</f>
        <v>https://www.sciencedirect.com/journal/neurobiology-of-sleep-and-circadian-rhythms</v>
      </c>
      <c r="G262" s="1" t="s">
        <v>931</v>
      </c>
    </row>
    <row r="263" spans="1:7" ht="12.75" customHeight="1" x14ac:dyDescent="0.3">
      <c r="A263" s="1" t="s">
        <v>932</v>
      </c>
      <c r="B263" s="1" t="s">
        <v>222</v>
      </c>
      <c r="C263" s="1" t="s">
        <v>933</v>
      </c>
      <c r="D263" s="6">
        <v>2096</v>
      </c>
      <c r="E263" s="1" t="s">
        <v>158</v>
      </c>
      <c r="F263" s="2" t="str">
        <f>HYPERLINK("https://www.sciencedirect.com/journal/kidney-international-reports")</f>
        <v>https://www.sciencedirect.com/journal/kidney-international-reports</v>
      </c>
      <c r="G263" s="1" t="s">
        <v>934</v>
      </c>
    </row>
    <row r="264" spans="1:7" ht="12.75" customHeight="1" x14ac:dyDescent="0.3">
      <c r="A264" s="1" t="s">
        <v>935</v>
      </c>
      <c r="B264" s="1" t="s">
        <v>222</v>
      </c>
      <c r="C264" s="1" t="s">
        <v>936</v>
      </c>
      <c r="D264" s="6">
        <v>752</v>
      </c>
      <c r="E264" s="1" t="s">
        <v>158</v>
      </c>
      <c r="F264" s="2" t="str">
        <f>HYPERLINK("https://www.sciencedirect.com/journal/videogie")</f>
        <v>https://www.sciencedirect.com/journal/videogie</v>
      </c>
      <c r="G264" s="1" t="s">
        <v>937</v>
      </c>
    </row>
    <row r="265" spans="1:7" ht="12.75" customHeight="1" x14ac:dyDescent="0.3">
      <c r="A265" s="1" t="s">
        <v>938</v>
      </c>
      <c r="B265" s="1" t="s">
        <v>222</v>
      </c>
      <c r="C265" s="1" t="s">
        <v>939</v>
      </c>
      <c r="D265" s="6">
        <v>1064</v>
      </c>
      <c r="E265" s="1" t="s">
        <v>156</v>
      </c>
      <c r="F265" s="2" t="str">
        <f>HYPERLINK("https://www.sciencedirect.com/journal/otolaryngology-case-reports")</f>
        <v>https://www.sciencedirect.com/journal/otolaryngology-case-reports</v>
      </c>
      <c r="G265" s="1" t="s">
        <v>940</v>
      </c>
    </row>
    <row r="266" spans="1:7" ht="12.75" customHeight="1" x14ac:dyDescent="0.3">
      <c r="A266" s="1" t="s">
        <v>941</v>
      </c>
      <c r="B266" s="1" t="s">
        <v>199</v>
      </c>
      <c r="C266" s="1" t="s">
        <v>942</v>
      </c>
      <c r="D266" s="6">
        <v>3068.5</v>
      </c>
      <c r="E266" s="1" t="s">
        <v>158</v>
      </c>
      <c r="F266" s="2" t="str">
        <f>HYPERLINK("https://www.sciencedirect.com/journal/molecular-therapy-oncology")</f>
        <v>https://www.sciencedirect.com/journal/molecular-therapy-oncology</v>
      </c>
      <c r="G266" s="1" t="s">
        <v>943</v>
      </c>
    </row>
    <row r="267" spans="1:7" ht="12.75" customHeight="1" x14ac:dyDescent="0.3">
      <c r="A267" s="1" t="s">
        <v>944</v>
      </c>
      <c r="B267" s="1" t="s">
        <v>187</v>
      </c>
      <c r="C267" s="1" t="s">
        <v>945</v>
      </c>
      <c r="D267" s="6">
        <v>1936</v>
      </c>
      <c r="E267" s="1" t="s">
        <v>156</v>
      </c>
      <c r="F267" s="2" t="str">
        <f>HYPERLINK("https://www.sciencedirect.com/journal/neurobiology-of-pain")</f>
        <v>https://www.sciencedirect.com/journal/neurobiology-of-pain</v>
      </c>
      <c r="G267" s="1" t="s">
        <v>946</v>
      </c>
    </row>
    <row r="268" spans="1:7" ht="12.75" customHeight="1" x14ac:dyDescent="0.3">
      <c r="A268" s="1" t="s">
        <v>947</v>
      </c>
      <c r="B268" s="1" t="s">
        <v>199</v>
      </c>
      <c r="C268" s="1" t="s">
        <v>948</v>
      </c>
      <c r="D268" s="6">
        <v>3068.5</v>
      </c>
      <c r="E268" s="1" t="s">
        <v>158</v>
      </c>
      <c r="F268" s="2" t="str">
        <f>HYPERLINK("https://www.sciencedirect.com/journal/molecular-therapy-nucleic-acids")</f>
        <v>https://www.sciencedirect.com/journal/molecular-therapy-nucleic-acids</v>
      </c>
      <c r="G268" s="1" t="s">
        <v>949</v>
      </c>
    </row>
    <row r="269" spans="1:7" ht="12.75" customHeight="1" x14ac:dyDescent="0.3">
      <c r="A269" s="1" t="s">
        <v>950</v>
      </c>
      <c r="B269" s="1" t="s">
        <v>199</v>
      </c>
      <c r="C269" s="1" t="s">
        <v>951</v>
      </c>
      <c r="D269" s="6">
        <v>3068.5</v>
      </c>
      <c r="E269" s="1" t="s">
        <v>158</v>
      </c>
      <c r="F269" s="2" t="str">
        <f>HYPERLINK("https://www.sciencedirect.com/journal/molecular-therapy-methods-and-clinical-development")</f>
        <v>https://www.sciencedirect.com/journal/molecular-therapy-methods-and-clinical-development</v>
      </c>
      <c r="G269" s="1" t="s">
        <v>952</v>
      </c>
    </row>
    <row r="270" spans="1:7" ht="12.75" customHeight="1" x14ac:dyDescent="0.3">
      <c r="A270" s="1" t="s">
        <v>953</v>
      </c>
      <c r="B270" s="1" t="s">
        <v>222</v>
      </c>
      <c r="C270" s="1" t="s">
        <v>954</v>
      </c>
      <c r="D270" s="6">
        <v>712</v>
      </c>
      <c r="E270" s="1" t="s">
        <v>158</v>
      </c>
      <c r="F270" s="2" t="str">
        <f>HYPERLINK("https://www.sciencedirect.com/journal/case")</f>
        <v>https://www.sciencedirect.com/journal/case</v>
      </c>
      <c r="G270" s="1" t="s">
        <v>955</v>
      </c>
    </row>
    <row r="271" spans="1:7" ht="12.75" customHeight="1" x14ac:dyDescent="0.3">
      <c r="A271" s="1" t="s">
        <v>956</v>
      </c>
      <c r="B271" s="1" t="s">
        <v>222</v>
      </c>
      <c r="C271" s="1" t="s">
        <v>957</v>
      </c>
      <c r="D271" s="6">
        <v>2248</v>
      </c>
      <c r="E271" s="1" t="s">
        <v>158</v>
      </c>
      <c r="F271" s="2" t="str">
        <f>HYPERLINK("https://www.sciencedirect.com/journal/mayo-clinic-proceedings-innovations-quality-and-outcomes")</f>
        <v>https://www.sciencedirect.com/journal/mayo-clinic-proceedings-innovations-quality-and-outcomes</v>
      </c>
      <c r="G271" s="1" t="s">
        <v>958</v>
      </c>
    </row>
    <row r="272" spans="1:7" ht="12.75" customHeight="1" x14ac:dyDescent="0.3">
      <c r="A272" s="1" t="s">
        <v>959</v>
      </c>
      <c r="B272" s="1" t="s">
        <v>960</v>
      </c>
      <c r="C272" s="1" t="s">
        <v>961</v>
      </c>
      <c r="D272" s="6">
        <v>2550</v>
      </c>
      <c r="E272" s="1" t="s">
        <v>156</v>
      </c>
      <c r="F272" s="2" t="str">
        <f>HYPERLINK("https://www.sciencedirect.com/journal/iscience")</f>
        <v>https://www.sciencedirect.com/journal/iscience</v>
      </c>
      <c r="G272" s="1" t="s">
        <v>962</v>
      </c>
    </row>
    <row r="273" spans="1:7" ht="12.75" customHeight="1" x14ac:dyDescent="0.3">
      <c r="A273" s="1" t="s">
        <v>963</v>
      </c>
      <c r="B273" s="1" t="s">
        <v>222</v>
      </c>
      <c r="C273" s="1" t="s">
        <v>964</v>
      </c>
      <c r="D273" s="6">
        <v>1872</v>
      </c>
      <c r="E273" s="1" t="s">
        <v>158</v>
      </c>
      <c r="F273" s="2" t="str">
        <f>HYPERLINK("https://www.sciencedirect.com/journal/journal-of-hand-surgery-global-online")</f>
        <v>https://www.sciencedirect.com/journal/journal-of-hand-surgery-global-online</v>
      </c>
      <c r="G273" s="1" t="s">
        <v>965</v>
      </c>
    </row>
    <row r="274" spans="1:7" ht="12.75" customHeight="1" x14ac:dyDescent="0.3">
      <c r="A274" s="1" t="s">
        <v>966</v>
      </c>
      <c r="B274" s="1" t="s">
        <v>222</v>
      </c>
      <c r="C274" s="1" t="s">
        <v>967</v>
      </c>
      <c r="D274" s="6">
        <v>1936</v>
      </c>
      <c r="E274" s="1" t="s">
        <v>158</v>
      </c>
      <c r="F274" s="2" t="str">
        <f>HYPERLINK("https://www.sciencedirect.com/journal/cjc-open")</f>
        <v>https://www.sciencedirect.com/journal/cjc-open</v>
      </c>
      <c r="G274" s="1" t="s">
        <v>968</v>
      </c>
    </row>
    <row r="275" spans="1:7" ht="12.75" customHeight="1" x14ac:dyDescent="0.3">
      <c r="A275" s="1" t="s">
        <v>969</v>
      </c>
      <c r="B275" s="1" t="s">
        <v>222</v>
      </c>
      <c r="C275" s="1" t="s">
        <v>970</v>
      </c>
      <c r="D275" s="6">
        <v>1672</v>
      </c>
      <c r="E275" s="1" t="s">
        <v>156</v>
      </c>
      <c r="F275" s="2" t="str">
        <f>HYPERLINK("https://www.sciencedirect.com/journal/surgery-open-science")</f>
        <v>https://www.sciencedirect.com/journal/surgery-open-science</v>
      </c>
      <c r="G275" s="1" t="s">
        <v>971</v>
      </c>
    </row>
    <row r="276" spans="1:7" ht="12.75" customHeight="1" x14ac:dyDescent="0.3">
      <c r="A276" s="1" t="s">
        <v>972</v>
      </c>
      <c r="B276" s="1" t="s">
        <v>193</v>
      </c>
      <c r="C276" s="1" t="s">
        <v>973</v>
      </c>
      <c r="D276" s="6">
        <v>1904</v>
      </c>
      <c r="E276" s="1" t="s">
        <v>156</v>
      </c>
      <c r="F276" s="2" t="str">
        <f>HYPERLINK("https://www.sciencedirect.com/journal/aging-brain")</f>
        <v>https://www.sciencedirect.com/journal/aging-brain</v>
      </c>
      <c r="G276" s="1" t="s">
        <v>974</v>
      </c>
    </row>
    <row r="277" spans="1:7" ht="12.75" customHeight="1" x14ac:dyDescent="0.3">
      <c r="A277" s="1" t="s">
        <v>975</v>
      </c>
      <c r="B277" s="1" t="s">
        <v>193</v>
      </c>
      <c r="C277" s="1" t="s">
        <v>976</v>
      </c>
      <c r="D277" s="6">
        <v>1672</v>
      </c>
      <c r="E277" s="1" t="s">
        <v>156</v>
      </c>
      <c r="F277" s="2" t="str">
        <f>HYPERLINK("https://www.sciencedirect.com/journal/metabolism-open")</f>
        <v>https://www.sciencedirect.com/journal/metabolism-open</v>
      </c>
      <c r="G277" s="1" t="s">
        <v>977</v>
      </c>
    </row>
    <row r="278" spans="1:7" ht="12.75" customHeight="1" x14ac:dyDescent="0.3">
      <c r="A278" s="1" t="s">
        <v>978</v>
      </c>
      <c r="B278" s="1" t="s">
        <v>222</v>
      </c>
      <c r="C278" s="1" t="s">
        <v>979</v>
      </c>
      <c r="D278" s="6">
        <v>1608</v>
      </c>
      <c r="E278" s="1" t="s">
        <v>158</v>
      </c>
      <c r="F278" s="2" t="str">
        <f>HYPERLINK("https://www.sciencedirect.com/journal/the-journal-of-pediatrics-clinical-practice")</f>
        <v>https://www.sciencedirect.com/journal/the-journal-of-pediatrics-clinical-practice</v>
      </c>
      <c r="G278" s="1" t="s">
        <v>980</v>
      </c>
    </row>
    <row r="279" spans="1:7" ht="12.75" customHeight="1" x14ac:dyDescent="0.3">
      <c r="A279" s="1" t="s">
        <v>981</v>
      </c>
      <c r="B279" s="1" t="s">
        <v>107</v>
      </c>
      <c r="C279" s="1" t="s">
        <v>982</v>
      </c>
      <c r="D279" s="6">
        <v>2264</v>
      </c>
      <c r="E279" s="1" t="s">
        <v>156</v>
      </c>
      <c r="F279" s="2" t="str">
        <f>HYPERLINK("https://www.sciencedirect.com/journal/journal-of-structural-biology-x")</f>
        <v>https://www.sciencedirect.com/journal/journal-of-structural-biology-x</v>
      </c>
      <c r="G279" s="1" t="s">
        <v>983</v>
      </c>
    </row>
    <row r="280" spans="1:7" ht="12.75" customHeight="1" x14ac:dyDescent="0.3">
      <c r="A280" s="1" t="s">
        <v>984</v>
      </c>
      <c r="B280" s="1" t="s">
        <v>199</v>
      </c>
      <c r="C280" s="1" t="s">
        <v>985</v>
      </c>
      <c r="D280" s="6">
        <v>1448</v>
      </c>
      <c r="E280" s="1" t="s">
        <v>156</v>
      </c>
      <c r="F280" s="2" t="str">
        <f>HYPERLINK("https://www.sciencedirect.com/journal/world-neurosurgery-x")</f>
        <v>https://www.sciencedirect.com/journal/world-neurosurgery-x</v>
      </c>
      <c r="G280" s="1" t="s">
        <v>986</v>
      </c>
    </row>
    <row r="281" spans="1:7" ht="12.75" customHeight="1" x14ac:dyDescent="0.3">
      <c r="A281" s="1" t="s">
        <v>987</v>
      </c>
      <c r="B281" s="1" t="s">
        <v>218</v>
      </c>
      <c r="C281" s="1" t="s">
        <v>988</v>
      </c>
      <c r="D281" s="6">
        <v>1568</v>
      </c>
      <c r="E281" s="1" t="s">
        <v>156</v>
      </c>
      <c r="F281" s="2" t="str">
        <f>HYPERLINK("https://www.sciencedirect.com/journal/array")</f>
        <v>https://www.sciencedirect.com/journal/array</v>
      </c>
      <c r="G281" s="1" t="s">
        <v>989</v>
      </c>
    </row>
    <row r="282" spans="1:7" ht="12.75" customHeight="1" x14ac:dyDescent="0.3">
      <c r="A282" s="1" t="s">
        <v>990</v>
      </c>
      <c r="B282" s="1" t="s">
        <v>165</v>
      </c>
      <c r="C282" s="1" t="s">
        <v>991</v>
      </c>
      <c r="D282" s="6">
        <v>1816</v>
      </c>
      <c r="E282" s="1" t="s">
        <v>156</v>
      </c>
      <c r="F282" s="2" t="str">
        <f>HYPERLINK("https://www.sciencedirect.com/journal/micro-and-nano-engineering")</f>
        <v>https://www.sciencedirect.com/journal/micro-and-nano-engineering</v>
      </c>
      <c r="G282" s="1" t="s">
        <v>992</v>
      </c>
    </row>
    <row r="283" spans="1:7" ht="12.75" customHeight="1" x14ac:dyDescent="0.3">
      <c r="A283" s="1" t="s">
        <v>993</v>
      </c>
      <c r="B283" s="1" t="s">
        <v>239</v>
      </c>
      <c r="C283" s="1" t="s">
        <v>994</v>
      </c>
      <c r="D283" s="6">
        <v>2416</v>
      </c>
      <c r="E283" s="1" t="s">
        <v>156</v>
      </c>
      <c r="F283" s="2" t="str">
        <f>HYPERLINK("https://www.sciencedirect.com/journal/materials-today-bio")</f>
        <v>https://www.sciencedirect.com/journal/materials-today-bio</v>
      </c>
      <c r="G283" s="1" t="s">
        <v>995</v>
      </c>
    </row>
    <row r="284" spans="1:7" ht="12.75" customHeight="1" x14ac:dyDescent="0.3">
      <c r="A284" s="1" t="s">
        <v>996</v>
      </c>
      <c r="B284" s="1" t="s">
        <v>222</v>
      </c>
      <c r="C284" s="1" t="s">
        <v>997</v>
      </c>
      <c r="D284" s="6">
        <v>1936</v>
      </c>
      <c r="E284" s="1" t="s">
        <v>158</v>
      </c>
      <c r="F284" s="2" t="str">
        <f>HYPERLINK("https://www.sciencedirect.com/journal/kidney-medicine")</f>
        <v>https://www.sciencedirect.com/journal/kidney-medicine</v>
      </c>
      <c r="G284" s="1" t="s">
        <v>998</v>
      </c>
    </row>
    <row r="285" spans="1:7" ht="12.75" customHeight="1" x14ac:dyDescent="0.3">
      <c r="A285" s="1" t="s">
        <v>999</v>
      </c>
      <c r="B285" s="1" t="s">
        <v>1000</v>
      </c>
      <c r="C285" s="1" t="s">
        <v>1001</v>
      </c>
      <c r="D285" s="6">
        <v>2310.4</v>
      </c>
      <c r="E285" s="1" t="s">
        <v>386</v>
      </c>
      <c r="F285" s="2" t="str">
        <f>HYPERLINK("https://www.sciencedirect.com/journal/immuno-oncology-and-technology")</f>
        <v>https://www.sciencedirect.com/journal/immuno-oncology-and-technology</v>
      </c>
      <c r="G285" s="1" t="s">
        <v>1002</v>
      </c>
    </row>
    <row r="286" spans="1:7" ht="12.75" customHeight="1" x14ac:dyDescent="0.3">
      <c r="A286" s="1" t="s">
        <v>1003</v>
      </c>
      <c r="B286" s="1" t="s">
        <v>196</v>
      </c>
      <c r="C286" s="1" t="s">
        <v>1004</v>
      </c>
      <c r="D286" s="6">
        <v>1576</v>
      </c>
      <c r="E286" s="1" t="s">
        <v>156</v>
      </c>
      <c r="F286" s="2" t="str">
        <f>HYPERLINK("https://www.sciencedirect.com/journal/research-in-globalization")</f>
        <v>https://www.sciencedirect.com/journal/research-in-globalization</v>
      </c>
      <c r="G286" s="1" t="s">
        <v>1005</v>
      </c>
    </row>
    <row r="287" spans="1:7" ht="12.75" customHeight="1" x14ac:dyDescent="0.3">
      <c r="A287" s="1" t="s">
        <v>1006</v>
      </c>
      <c r="B287" s="1" t="s">
        <v>205</v>
      </c>
      <c r="C287" s="1" t="s">
        <v>1007</v>
      </c>
      <c r="D287" s="6">
        <v>1584</v>
      </c>
      <c r="E287" s="1" t="s">
        <v>156</v>
      </c>
      <c r="F287" s="2" t="str">
        <f>HYPERLINK("https://www.sciencedirect.com/journal/results-in-applied-mathematics")</f>
        <v>https://www.sciencedirect.com/journal/results-in-applied-mathematics</v>
      </c>
      <c r="G287" s="1" t="s">
        <v>1008</v>
      </c>
    </row>
    <row r="288" spans="1:7" ht="12.75" customHeight="1" x14ac:dyDescent="0.3">
      <c r="A288" s="1" t="s">
        <v>1009</v>
      </c>
      <c r="B288" s="1" t="s">
        <v>272</v>
      </c>
      <c r="C288" s="1" t="s">
        <v>1010</v>
      </c>
      <c r="D288" s="6">
        <v>1376</v>
      </c>
      <c r="E288" s="1" t="s">
        <v>156</v>
      </c>
      <c r="F288" s="2" t="str">
        <f>HYPERLINK("https://www.sciencedirect.com/journal/results-in-materials")</f>
        <v>https://www.sciencedirect.com/journal/results-in-materials</v>
      </c>
      <c r="G288" s="1" t="s">
        <v>1011</v>
      </c>
    </row>
    <row r="289" spans="1:7" ht="12.75" customHeight="1" x14ac:dyDescent="0.3">
      <c r="A289" s="1" t="s">
        <v>1012</v>
      </c>
      <c r="B289" s="1" t="s">
        <v>269</v>
      </c>
      <c r="C289" s="1" t="s">
        <v>1013</v>
      </c>
      <c r="D289" s="6">
        <v>2920</v>
      </c>
      <c r="E289" s="1" t="s">
        <v>156</v>
      </c>
      <c r="F289" s="2" t="str">
        <f>HYPERLINK("https://www.sciencedirect.com/journal/materials-today-advances")</f>
        <v>https://www.sciencedirect.com/journal/materials-today-advances</v>
      </c>
      <c r="G289" s="1" t="s">
        <v>1014</v>
      </c>
    </row>
    <row r="290" spans="1:7" ht="12.75" customHeight="1" x14ac:dyDescent="0.3">
      <c r="A290" s="1" t="s">
        <v>1015</v>
      </c>
      <c r="B290" s="1" t="s">
        <v>222</v>
      </c>
      <c r="C290" s="1" t="s">
        <v>1016</v>
      </c>
      <c r="D290" s="6">
        <v>1680</v>
      </c>
      <c r="E290" s="1" t="s">
        <v>158</v>
      </c>
      <c r="F290" s="2" t="str">
        <f>HYPERLINK("https://www.sciencedirect.com/journal/biosafety-and-health")</f>
        <v>https://www.sciencedirect.com/journal/biosafety-and-health</v>
      </c>
      <c r="G290" s="1" t="s">
        <v>1017</v>
      </c>
    </row>
    <row r="291" spans="1:7" ht="12.75" customHeight="1" x14ac:dyDescent="0.3">
      <c r="A291" s="1" t="s">
        <v>1018</v>
      </c>
      <c r="B291" s="1" t="s">
        <v>222</v>
      </c>
      <c r="C291" s="1" t="s">
        <v>1019</v>
      </c>
      <c r="D291" s="6">
        <v>1120</v>
      </c>
      <c r="E291" s="1" t="s">
        <v>158</v>
      </c>
      <c r="F291" s="2" t="str">
        <f>HYPERLINK("https://www.sciencedirect.com/journal/infection-prevention-in-practice")</f>
        <v>https://www.sciencedirect.com/journal/infection-prevention-in-practice</v>
      </c>
      <c r="G291" s="1" t="s">
        <v>1020</v>
      </c>
    </row>
    <row r="292" spans="1:7" ht="12.75" customHeight="1" x14ac:dyDescent="0.3">
      <c r="A292" s="1" t="s">
        <v>1021</v>
      </c>
      <c r="B292" s="1" t="s">
        <v>1022</v>
      </c>
      <c r="C292" s="1" t="s">
        <v>1023</v>
      </c>
      <c r="D292" s="6">
        <v>1680</v>
      </c>
      <c r="E292" s="1" t="s">
        <v>156</v>
      </c>
      <c r="F292" s="2" t="str">
        <f>HYPERLINK("https://www.sciencedirect.com/journal/progress-in-disaster-science")</f>
        <v>https://www.sciencedirect.com/journal/progress-in-disaster-science</v>
      </c>
      <c r="G292" s="1" t="s">
        <v>1024</v>
      </c>
    </row>
    <row r="293" spans="1:7" ht="12.75" customHeight="1" x14ac:dyDescent="0.3">
      <c r="A293" s="1" t="s">
        <v>1025</v>
      </c>
      <c r="B293" s="1" t="s">
        <v>193</v>
      </c>
      <c r="C293" s="1" t="s">
        <v>1026</v>
      </c>
      <c r="D293" s="6">
        <v>1672</v>
      </c>
      <c r="E293" s="1" t="s">
        <v>156</v>
      </c>
      <c r="F293" s="2" t="str">
        <f>HYPERLINK("https://www.sciencedirect.com/journal/medicine-in-omics")</f>
        <v>https://www.sciencedirect.com/journal/medicine-in-omics</v>
      </c>
      <c r="G293" s="1" t="s">
        <v>1027</v>
      </c>
    </row>
    <row r="294" spans="1:7" ht="12.75" customHeight="1" x14ac:dyDescent="0.3">
      <c r="A294" s="1" t="s">
        <v>1028</v>
      </c>
      <c r="B294" s="1" t="s">
        <v>222</v>
      </c>
      <c r="C294" s="1" t="s">
        <v>1029</v>
      </c>
      <c r="D294" s="6">
        <v>2032</v>
      </c>
      <c r="E294" s="1" t="s">
        <v>156</v>
      </c>
      <c r="F294" s="2" t="str">
        <f>HYPERLINK("https://www.sciencedirect.com/journal/international-journal-of-cardiology-cardiovascular-risk-and-prevention")</f>
        <v>https://www.sciencedirect.com/journal/international-journal-of-cardiology-cardiovascular-risk-and-prevention</v>
      </c>
      <c r="G294" s="1" t="s">
        <v>1030</v>
      </c>
    </row>
    <row r="295" spans="1:7" ht="12.75" customHeight="1" x14ac:dyDescent="0.3">
      <c r="A295" s="1" t="s">
        <v>1031</v>
      </c>
      <c r="B295" s="1" t="s">
        <v>295</v>
      </c>
      <c r="C295" s="1" t="s">
        <v>1032</v>
      </c>
      <c r="D295" s="6">
        <v>2600</v>
      </c>
      <c r="E295" s="1" t="s">
        <v>156</v>
      </c>
      <c r="F295" s="2" t="str">
        <f>HYPERLINK("https://www.sciencedirect.com/journal/journal-of-translational-autoimmunity")</f>
        <v>https://www.sciencedirect.com/journal/journal-of-translational-autoimmunity</v>
      </c>
      <c r="G295" s="1" t="s">
        <v>1033</v>
      </c>
    </row>
    <row r="296" spans="1:7" ht="12.75" customHeight="1" x14ac:dyDescent="0.3">
      <c r="A296" s="1" t="s">
        <v>1034</v>
      </c>
      <c r="B296" s="1" t="s">
        <v>250</v>
      </c>
      <c r="C296" s="1" t="s">
        <v>1035</v>
      </c>
      <c r="D296" s="6">
        <v>632</v>
      </c>
      <c r="E296" s="1" t="s">
        <v>156</v>
      </c>
      <c r="F296" s="2" t="str">
        <f>HYPERLINK("https://www.sciencedirect.com/journal/urology-video-journal")</f>
        <v>https://www.sciencedirect.com/journal/urology-video-journal</v>
      </c>
      <c r="G296" s="1" t="s">
        <v>1036</v>
      </c>
    </row>
    <row r="297" spans="1:7" ht="12.75" customHeight="1" x14ac:dyDescent="0.3">
      <c r="A297" s="1" t="s">
        <v>1037</v>
      </c>
      <c r="B297" s="1" t="s">
        <v>164</v>
      </c>
      <c r="C297" s="1" t="s">
        <v>1038</v>
      </c>
      <c r="D297" s="6">
        <v>1336</v>
      </c>
      <c r="E297" s="1" t="s">
        <v>156</v>
      </c>
      <c r="F297" s="2" t="str">
        <f>HYPERLINK("https://www.sciencedirect.com/journal/results-in-chemistry")</f>
        <v>https://www.sciencedirect.com/journal/results-in-chemistry</v>
      </c>
      <c r="G297" s="1" t="s">
        <v>1039</v>
      </c>
    </row>
    <row r="298" spans="1:7" ht="12.75" customHeight="1" x14ac:dyDescent="0.3">
      <c r="A298" s="1" t="s">
        <v>1040</v>
      </c>
      <c r="B298" s="1" t="s">
        <v>315</v>
      </c>
      <c r="C298" s="1" t="s">
        <v>1041</v>
      </c>
      <c r="D298" s="6">
        <v>2120</v>
      </c>
      <c r="E298" s="1" t="s">
        <v>156</v>
      </c>
      <c r="F298" s="2" t="str">
        <f>HYPERLINK("https://www.sciencedirect.com/journal/medicine-in-novel-technology-and-devices")</f>
        <v>https://www.sciencedirect.com/journal/medicine-in-novel-technology-and-devices</v>
      </c>
      <c r="G298" s="1" t="s">
        <v>1042</v>
      </c>
    </row>
    <row r="299" spans="1:7" ht="12.75" customHeight="1" x14ac:dyDescent="0.3">
      <c r="A299" s="1" t="s">
        <v>1043</v>
      </c>
      <c r="B299" s="1" t="s">
        <v>1044</v>
      </c>
      <c r="C299" s="1" t="s">
        <v>1045</v>
      </c>
      <c r="D299" s="6">
        <v>2208</v>
      </c>
      <c r="E299" s="1" t="s">
        <v>156</v>
      </c>
      <c r="F299" s="2" t="str">
        <f>HYPERLINK("https://www.sciencedirect.com/journal/medicine-in-drug-discovery")</f>
        <v>https://www.sciencedirect.com/journal/medicine-in-drug-discovery</v>
      </c>
      <c r="G299" s="1" t="s">
        <v>1046</v>
      </c>
    </row>
    <row r="300" spans="1:7" ht="12.75" customHeight="1" x14ac:dyDescent="0.3">
      <c r="A300" s="1" t="s">
        <v>1047</v>
      </c>
      <c r="B300" s="1" t="s">
        <v>222</v>
      </c>
      <c r="C300" s="1" t="s">
        <v>1048</v>
      </c>
      <c r="D300" s="6">
        <v>2320</v>
      </c>
      <c r="E300" s="1" t="s">
        <v>156</v>
      </c>
      <c r="F300" s="2" t="str">
        <f>HYPERLINK("https://www.sciencedirect.com/journal/medicine-in-microecology")</f>
        <v>https://www.sciencedirect.com/journal/medicine-in-microecology</v>
      </c>
      <c r="G300" s="1" t="s">
        <v>1049</v>
      </c>
    </row>
    <row r="301" spans="1:7" ht="12.75" customHeight="1" x14ac:dyDescent="0.3">
      <c r="A301" s="1" t="s">
        <v>1050</v>
      </c>
      <c r="B301" s="1" t="s">
        <v>1051</v>
      </c>
      <c r="C301" s="1" t="s">
        <v>1052</v>
      </c>
      <c r="D301" s="6">
        <v>2000</v>
      </c>
      <c r="E301" s="1" t="s">
        <v>156</v>
      </c>
      <c r="F301" s="2" t="str">
        <f>HYPERLINK("https://www.sciencedirect.com/journal/global-epidemiology")</f>
        <v>https://www.sciencedirect.com/journal/global-epidemiology</v>
      </c>
      <c r="G301" s="1" t="s">
        <v>1053</v>
      </c>
    </row>
    <row r="302" spans="1:7" ht="12.75" customHeight="1" x14ac:dyDescent="0.3">
      <c r="A302" s="1" t="s">
        <v>1054</v>
      </c>
      <c r="B302" s="1" t="s">
        <v>160</v>
      </c>
      <c r="C302" s="1" t="s">
        <v>1055</v>
      </c>
      <c r="D302" s="6">
        <v>1584</v>
      </c>
      <c r="E302" s="1" t="s">
        <v>156</v>
      </c>
      <c r="F302" s="2" t="str">
        <f>HYPERLINK("https://www.sciencedirect.com/journal/results-in-engineering")</f>
        <v>https://www.sciencedirect.com/journal/results-in-engineering</v>
      </c>
      <c r="G302" s="1" t="s">
        <v>1056</v>
      </c>
    </row>
    <row r="303" spans="1:7" ht="12.75" customHeight="1" x14ac:dyDescent="0.3">
      <c r="A303" s="1" t="s">
        <v>1057</v>
      </c>
      <c r="B303" s="1" t="s">
        <v>222</v>
      </c>
      <c r="C303" s="1" t="s">
        <v>1058</v>
      </c>
      <c r="D303" s="6">
        <v>2128</v>
      </c>
      <c r="E303" s="1" t="s">
        <v>158</v>
      </c>
      <c r="F303" s="2" t="str">
        <f>HYPERLINK("https://www.sciencedirect.com/journal/world-allergy-organization-journal")</f>
        <v>https://www.sciencedirect.com/journal/world-allergy-organization-journal</v>
      </c>
      <c r="G303" s="1" t="s">
        <v>1059</v>
      </c>
    </row>
    <row r="304" spans="1:7" ht="12.75" customHeight="1" x14ac:dyDescent="0.3">
      <c r="A304" s="1" t="s">
        <v>1060</v>
      </c>
      <c r="B304" s="1" t="s">
        <v>222</v>
      </c>
      <c r="C304" s="1" t="s">
        <v>1061</v>
      </c>
      <c r="D304" s="6">
        <v>1496</v>
      </c>
      <c r="E304" s="1" t="s">
        <v>158</v>
      </c>
      <c r="F304" s="2" t="str">
        <f>HYPERLINK("https://www.sciencedirect.com/journal/clinical-infection-in-practice")</f>
        <v>https://www.sciencedirect.com/journal/clinical-infection-in-practice</v>
      </c>
      <c r="G304" s="1" t="s">
        <v>1062</v>
      </c>
    </row>
    <row r="305" spans="1:7" ht="12.75" customHeight="1" x14ac:dyDescent="0.3">
      <c r="A305" s="1" t="s">
        <v>1063</v>
      </c>
      <c r="B305" s="1" t="s">
        <v>1064</v>
      </c>
      <c r="C305" s="1" t="s">
        <v>1065</v>
      </c>
      <c r="D305" s="6">
        <v>2352</v>
      </c>
      <c r="E305" s="1" t="s">
        <v>156</v>
      </c>
      <c r="F305" s="2" t="str">
        <f>HYPERLINK("https://www.sciencedirect.com/journal/biofilm")</f>
        <v>https://www.sciencedirect.com/journal/biofilm</v>
      </c>
      <c r="G305" s="1" t="s">
        <v>1066</v>
      </c>
    </row>
    <row r="306" spans="1:7" ht="12.75" customHeight="1" x14ac:dyDescent="0.3">
      <c r="A306" s="1" t="s">
        <v>1067</v>
      </c>
      <c r="B306" s="1" t="s">
        <v>444</v>
      </c>
      <c r="C306" s="1" t="s">
        <v>1068</v>
      </c>
      <c r="D306" s="6">
        <v>1568</v>
      </c>
      <c r="E306" s="1" t="s">
        <v>156</v>
      </c>
      <c r="F306" s="2" t="str">
        <f>HYPERLINK("https://www.sciencedirect.com/journal/transportation-research-interdisciplinary-perspectives")</f>
        <v>https://www.sciencedirect.com/journal/transportation-research-interdisciplinary-perspectives</v>
      </c>
      <c r="G306" s="1" t="s">
        <v>1069</v>
      </c>
    </row>
    <row r="307" spans="1:7" ht="12.75" customHeight="1" x14ac:dyDescent="0.3">
      <c r="A307" s="1" t="s">
        <v>1070</v>
      </c>
      <c r="B307" s="1" t="s">
        <v>176</v>
      </c>
      <c r="C307" s="1" t="s">
        <v>1071</v>
      </c>
      <c r="D307" s="6">
        <v>2040</v>
      </c>
      <c r="E307" s="1" t="s">
        <v>156</v>
      </c>
      <c r="F307" s="2" t="str">
        <f>HYPERLINK("https://www.sciencedirect.com/journal/clinical-parkinsonism-and-related-disorders")</f>
        <v>https://www.sciencedirect.com/journal/clinical-parkinsonism-and-related-disorders</v>
      </c>
      <c r="G307" s="1" t="s">
        <v>1072</v>
      </c>
    </row>
    <row r="308" spans="1:7" ht="12.75" customHeight="1" x14ac:dyDescent="0.3">
      <c r="A308" s="1" t="s">
        <v>1073</v>
      </c>
      <c r="B308" s="1" t="s">
        <v>169</v>
      </c>
      <c r="C308" s="1" t="s">
        <v>1074</v>
      </c>
      <c r="D308" s="6">
        <v>1640</v>
      </c>
      <c r="E308" s="1" t="s">
        <v>156</v>
      </c>
      <c r="F308" s="2" t="str">
        <f>HYPERLINK("https://www.sciencedirect.com/journal/applied-computing-and-geosciences")</f>
        <v>https://www.sciencedirect.com/journal/applied-computing-and-geosciences</v>
      </c>
      <c r="G308" s="1" t="s">
        <v>1075</v>
      </c>
    </row>
    <row r="309" spans="1:7" ht="12.75" customHeight="1" x14ac:dyDescent="0.3">
      <c r="A309" s="1" t="s">
        <v>1076</v>
      </c>
      <c r="B309" s="1" t="s">
        <v>107</v>
      </c>
      <c r="C309" s="1" t="s">
        <v>1077</v>
      </c>
      <c r="D309" s="6">
        <v>2160</v>
      </c>
      <c r="E309" s="1" t="s">
        <v>156</v>
      </c>
      <c r="F309" s="2" t="str">
        <f>HYPERLINK("https://www.sciencedirect.com/journal/current-research-in-biotechnology")</f>
        <v>https://www.sciencedirect.com/journal/current-research-in-biotechnology</v>
      </c>
      <c r="G309" s="1" t="s">
        <v>1078</v>
      </c>
    </row>
    <row r="310" spans="1:7" ht="12.75" customHeight="1" x14ac:dyDescent="0.3">
      <c r="A310" s="1" t="s">
        <v>1079</v>
      </c>
      <c r="B310" s="1" t="s">
        <v>1080</v>
      </c>
      <c r="C310" s="1" t="s">
        <v>1081</v>
      </c>
      <c r="D310" s="6">
        <v>1872</v>
      </c>
      <c r="E310" s="1" t="s">
        <v>156</v>
      </c>
      <c r="F310" s="2" t="str">
        <f>HYPERLINK("https://www.sciencedirect.com/journal/city-and-environment-interactions")</f>
        <v>https://www.sciencedirect.com/journal/city-and-environment-interactions</v>
      </c>
      <c r="G310" s="1" t="s">
        <v>1082</v>
      </c>
    </row>
    <row r="311" spans="1:7" ht="12.75" customHeight="1" x14ac:dyDescent="0.3">
      <c r="A311" s="1" t="s">
        <v>1083</v>
      </c>
      <c r="B311" s="1" t="s">
        <v>281</v>
      </c>
      <c r="C311" s="1" t="s">
        <v>1084</v>
      </c>
      <c r="D311" s="6">
        <v>2280</v>
      </c>
      <c r="E311" s="1" t="s">
        <v>156</v>
      </c>
      <c r="F311" s="2" t="str">
        <f>HYPERLINK("https://www.sciencedirect.com/journal/health-policy-open")</f>
        <v>https://www.sciencedirect.com/journal/health-policy-open</v>
      </c>
      <c r="G311" s="1" t="s">
        <v>1085</v>
      </c>
    </row>
    <row r="312" spans="1:7" ht="12.75" customHeight="1" x14ac:dyDescent="0.3">
      <c r="A312" s="1" t="s">
        <v>1086</v>
      </c>
      <c r="B312" s="1" t="s">
        <v>309</v>
      </c>
      <c r="C312" s="1" t="s">
        <v>1087</v>
      </c>
      <c r="D312" s="6">
        <v>1512</v>
      </c>
      <c r="E312" s="1" t="s">
        <v>156</v>
      </c>
      <c r="F312" s="2" t="str">
        <f>HYPERLINK("https://www.sciencedirect.com/journal/methods-in-psychology")</f>
        <v>https://www.sciencedirect.com/journal/methods-in-psychology</v>
      </c>
      <c r="G312" s="1" t="s">
        <v>1088</v>
      </c>
    </row>
    <row r="313" spans="1:7" ht="12.75" customHeight="1" x14ac:dyDescent="0.3">
      <c r="A313" s="1" t="s">
        <v>1089</v>
      </c>
      <c r="B313" s="1" t="s">
        <v>1090</v>
      </c>
      <c r="C313" s="1" t="s">
        <v>1091</v>
      </c>
      <c r="D313" s="6">
        <v>984</v>
      </c>
      <c r="E313" s="1" t="s">
        <v>156</v>
      </c>
      <c r="F313" s="2" t="str">
        <f>HYPERLINK("https://www.sciencedirect.com/journal/social-sciences-and-humanities-open")</f>
        <v>https://www.sciencedirect.com/journal/social-sciences-and-humanities-open</v>
      </c>
      <c r="G313" s="1" t="s">
        <v>1092</v>
      </c>
    </row>
    <row r="314" spans="1:7" ht="12.75" customHeight="1" x14ac:dyDescent="0.3">
      <c r="A314" s="1" t="s">
        <v>1093</v>
      </c>
      <c r="B314" s="1" t="s">
        <v>165</v>
      </c>
      <c r="C314" s="1" t="s">
        <v>1094</v>
      </c>
      <c r="D314" s="6">
        <v>1712</v>
      </c>
      <c r="E314" s="1" t="s">
        <v>156</v>
      </c>
      <c r="F314" s="2" t="str">
        <f>HYPERLINK("https://www.sciencedirect.com/journal/measurement-sensors")</f>
        <v>https://www.sciencedirect.com/journal/measurement-sensors</v>
      </c>
      <c r="G314" s="1" t="s">
        <v>1095</v>
      </c>
    </row>
    <row r="315" spans="1:7" ht="12.75" customHeight="1" x14ac:dyDescent="0.3">
      <c r="A315" s="1" t="s">
        <v>1096</v>
      </c>
      <c r="B315" s="1" t="s">
        <v>222</v>
      </c>
      <c r="C315" s="1" t="s">
        <v>1097</v>
      </c>
      <c r="D315" s="6">
        <v>936</v>
      </c>
      <c r="E315" s="1" t="s">
        <v>156</v>
      </c>
      <c r="F315" s="2" t="str">
        <f>HYPERLINK("https://www.sciencedirect.com/journal/forensic-science-international-reports")</f>
        <v>https://www.sciencedirect.com/journal/forensic-science-international-reports</v>
      </c>
      <c r="G315" s="1" t="s">
        <v>1098</v>
      </c>
    </row>
    <row r="316" spans="1:7" ht="12.75" customHeight="1" x14ac:dyDescent="0.3">
      <c r="A316" s="1" t="s">
        <v>1099</v>
      </c>
      <c r="B316" s="1" t="s">
        <v>222</v>
      </c>
      <c r="C316" s="1" t="s">
        <v>1100</v>
      </c>
      <c r="D316" s="6">
        <v>1208</v>
      </c>
      <c r="E316" s="1" t="s">
        <v>158</v>
      </c>
      <c r="F316" s="2" t="str">
        <f>HYPERLINK("https://www.sciencedirect.com/journal/osteoarthritis-and-cartilage-open")</f>
        <v>https://www.sciencedirect.com/journal/osteoarthritis-and-cartilage-open</v>
      </c>
      <c r="G316" s="1" t="s">
        <v>1101</v>
      </c>
    </row>
    <row r="317" spans="1:7" ht="12.75" customHeight="1" x14ac:dyDescent="0.3">
      <c r="A317" s="1" t="s">
        <v>1102</v>
      </c>
      <c r="B317" s="1" t="s">
        <v>219</v>
      </c>
      <c r="C317" s="1" t="s">
        <v>1103</v>
      </c>
      <c r="D317" s="6">
        <v>2408</v>
      </c>
      <c r="E317" s="1" t="s">
        <v>156</v>
      </c>
      <c r="F317" s="2" t="str">
        <f>HYPERLINK("https://www.sciencedirect.com/journal/current-research-in-pharmacology-and-drug-discovery")</f>
        <v>https://www.sciencedirect.com/journal/current-research-in-pharmacology-and-drug-discovery</v>
      </c>
      <c r="G317" s="1" t="s">
        <v>1104</v>
      </c>
    </row>
    <row r="318" spans="1:7" ht="12.75" customHeight="1" x14ac:dyDescent="0.3">
      <c r="A318" s="1" t="s">
        <v>1105</v>
      </c>
      <c r="B318" s="1" t="s">
        <v>168</v>
      </c>
      <c r="C318" s="1" t="s">
        <v>1106</v>
      </c>
      <c r="D318" s="6">
        <v>2432</v>
      </c>
      <c r="E318" s="1" t="s">
        <v>156</v>
      </c>
      <c r="F318" s="2" t="str">
        <f>HYPERLINK("https://www.sciencedirect.com/journal/current-research-in-food-science")</f>
        <v>https://www.sciencedirect.com/journal/current-research-in-food-science</v>
      </c>
      <c r="G318" s="1" t="s">
        <v>1107</v>
      </c>
    </row>
    <row r="319" spans="1:7" ht="12.75" customHeight="1" x14ac:dyDescent="0.3">
      <c r="A319" s="1" t="s">
        <v>1108</v>
      </c>
      <c r="B319" s="1" t="s">
        <v>187</v>
      </c>
      <c r="C319" s="1" t="s">
        <v>1109</v>
      </c>
      <c r="D319" s="6">
        <v>2248</v>
      </c>
      <c r="E319" s="1" t="s">
        <v>156</v>
      </c>
      <c r="F319" s="2" t="str">
        <f>HYPERLINK("https://www.sciencedirect.com/journal/current-research-in-structural-biology")</f>
        <v>https://www.sciencedirect.com/journal/current-research-in-structural-biology</v>
      </c>
      <c r="G319" s="1" t="s">
        <v>1110</v>
      </c>
    </row>
    <row r="320" spans="1:7" ht="12.75" customHeight="1" x14ac:dyDescent="0.3">
      <c r="A320" s="1" t="s">
        <v>1111</v>
      </c>
      <c r="B320" s="1" t="s">
        <v>187</v>
      </c>
      <c r="C320" s="1" t="s">
        <v>1112</v>
      </c>
      <c r="D320" s="6">
        <v>2144</v>
      </c>
      <c r="E320" s="1" t="s">
        <v>156</v>
      </c>
      <c r="F320" s="2" t="str">
        <f>HYPERLINK("https://www.sciencedirect.com/journal/current-research-in-neurobiology")</f>
        <v>https://www.sciencedirect.com/journal/current-research-in-neurobiology</v>
      </c>
      <c r="G320" s="1" t="s">
        <v>1113</v>
      </c>
    </row>
    <row r="321" spans="1:7" ht="12.75" customHeight="1" x14ac:dyDescent="0.3">
      <c r="A321" s="1" t="s">
        <v>1114</v>
      </c>
      <c r="B321" s="1" t="s">
        <v>107</v>
      </c>
      <c r="C321" s="1" t="s">
        <v>1115</v>
      </c>
      <c r="D321" s="6">
        <v>1936</v>
      </c>
      <c r="E321" s="1" t="s">
        <v>156</v>
      </c>
      <c r="F321" s="2" t="str">
        <f>HYPERLINK("https://www.sciencedirect.com/journal/current-research-in-physiology")</f>
        <v>https://www.sciencedirect.com/journal/current-research-in-physiology</v>
      </c>
      <c r="G321" s="1" t="s">
        <v>1116</v>
      </c>
    </row>
    <row r="322" spans="1:7" ht="12.75" customHeight="1" x14ac:dyDescent="0.3">
      <c r="A322" s="1" t="s">
        <v>1117</v>
      </c>
      <c r="B322" s="1" t="s">
        <v>168</v>
      </c>
      <c r="C322" s="1" t="s">
        <v>1118</v>
      </c>
      <c r="D322" s="6">
        <v>2754</v>
      </c>
      <c r="E322" s="1" t="s">
        <v>158</v>
      </c>
      <c r="F322" s="2" t="str">
        <f>HYPERLINK("https://www.sciencedirect.com/journal/plant-communications")</f>
        <v>https://www.sciencedirect.com/journal/plant-communications</v>
      </c>
      <c r="G322" s="1" t="s">
        <v>1119</v>
      </c>
    </row>
    <row r="323" spans="1:7" ht="12.75" customHeight="1" x14ac:dyDescent="0.3">
      <c r="A323" s="1" t="s">
        <v>1120</v>
      </c>
      <c r="B323" s="1" t="s">
        <v>1121</v>
      </c>
      <c r="C323" s="1" t="s">
        <v>1122</v>
      </c>
      <c r="D323" s="6">
        <v>1768</v>
      </c>
      <c r="E323" s="1" t="s">
        <v>156</v>
      </c>
      <c r="F323" s="2" t="str">
        <f>HYPERLINK("https://www.sciencedirect.com/journal/environmental-and-sustainability-indicators")</f>
        <v>https://www.sciencedirect.com/journal/environmental-and-sustainability-indicators</v>
      </c>
      <c r="G323" s="1" t="s">
        <v>1123</v>
      </c>
    </row>
    <row r="324" spans="1:7" ht="12.75" customHeight="1" x14ac:dyDescent="0.3">
      <c r="A324" s="1" t="s">
        <v>1124</v>
      </c>
      <c r="B324" s="1" t="s">
        <v>218</v>
      </c>
      <c r="C324" s="1" t="s">
        <v>1125</v>
      </c>
      <c r="D324" s="6">
        <v>536</v>
      </c>
      <c r="E324" s="1" t="s">
        <v>505</v>
      </c>
      <c r="F324" s="2" t="str">
        <f>HYPERLINK("https://www.sciencedirect.com/journal/software-impacts")</f>
        <v>https://www.sciencedirect.com/journal/software-impacts</v>
      </c>
      <c r="G324" s="1" t="s">
        <v>1126</v>
      </c>
    </row>
    <row r="325" spans="1:7" ht="12.75" customHeight="1" x14ac:dyDescent="0.3">
      <c r="A325" s="1" t="s">
        <v>1127</v>
      </c>
      <c r="B325" s="1" t="s">
        <v>222</v>
      </c>
      <c r="C325" s="1" t="s">
        <v>1128</v>
      </c>
      <c r="D325" s="6">
        <v>1120</v>
      </c>
      <c r="E325" s="1" t="s">
        <v>386</v>
      </c>
      <c r="F325" s="2" t="str">
        <f>HYPERLINK("https://www.sciencedirect.com/journal/annals-of-hepatology")</f>
        <v>https://www.sciencedirect.com/journal/annals-of-hepatology</v>
      </c>
      <c r="G325" s="1" t="s">
        <v>1129</v>
      </c>
    </row>
    <row r="326" spans="1:7" ht="12.75" customHeight="1" x14ac:dyDescent="0.3">
      <c r="A326" s="1" t="s">
        <v>1130</v>
      </c>
      <c r="B326" s="1" t="s">
        <v>228</v>
      </c>
      <c r="C326" s="1" t="s">
        <v>1131</v>
      </c>
      <c r="D326" s="6">
        <v>944</v>
      </c>
      <c r="E326" s="1" t="s">
        <v>156</v>
      </c>
      <c r="F326" s="2" t="str">
        <f>HYPERLINK("https://www.sciencedirect.com/journal/case-studies-in-chemical-and-environmental-engineering")</f>
        <v>https://www.sciencedirect.com/journal/case-studies-in-chemical-and-environmental-engineering</v>
      </c>
      <c r="G326" s="1" t="s">
        <v>1132</v>
      </c>
    </row>
    <row r="327" spans="1:7" ht="12.75" customHeight="1" x14ac:dyDescent="0.3">
      <c r="A327" s="1" t="s">
        <v>1133</v>
      </c>
      <c r="B327" s="1" t="s">
        <v>171</v>
      </c>
      <c r="C327" s="1" t="s">
        <v>1134</v>
      </c>
      <c r="D327" s="6">
        <v>1880</v>
      </c>
      <c r="E327" s="1" t="s">
        <v>156</v>
      </c>
      <c r="F327" s="2" t="str">
        <f>HYPERLINK("https://www.sciencedirect.com/journal/science-of-remote-sensing")</f>
        <v>https://www.sciencedirect.com/journal/science-of-remote-sensing</v>
      </c>
      <c r="G327" s="1" t="s">
        <v>1135</v>
      </c>
    </row>
    <row r="328" spans="1:7" ht="12.75" customHeight="1" x14ac:dyDescent="0.3">
      <c r="A328" s="1" t="s">
        <v>1136</v>
      </c>
      <c r="B328" s="1" t="s">
        <v>175</v>
      </c>
      <c r="C328" s="1" t="s">
        <v>1137</v>
      </c>
      <c r="D328" s="6">
        <v>2088</v>
      </c>
      <c r="E328" s="1" t="s">
        <v>156</v>
      </c>
      <c r="F328" s="2" t="str">
        <f>HYPERLINK("https://www.sciencedirect.com/journal/current-research-in-toxicology")</f>
        <v>https://www.sciencedirect.com/journal/current-research-in-toxicology</v>
      </c>
      <c r="G328" s="1" t="s">
        <v>1138</v>
      </c>
    </row>
    <row r="329" spans="1:7" ht="12.75" customHeight="1" x14ac:dyDescent="0.3">
      <c r="A329" s="1" t="s">
        <v>1139</v>
      </c>
      <c r="B329" s="1" t="s">
        <v>169</v>
      </c>
      <c r="C329" s="1" t="s">
        <v>1140</v>
      </c>
      <c r="D329" s="6">
        <v>1320</v>
      </c>
      <c r="E329" s="1" t="s">
        <v>156</v>
      </c>
      <c r="F329" s="2" t="str">
        <f>HYPERLINK("https://www.sciencedirect.com/journal/quaternary-science-advances")</f>
        <v>https://www.sciencedirect.com/journal/quaternary-science-advances</v>
      </c>
      <c r="G329" s="1" t="s">
        <v>1141</v>
      </c>
    </row>
    <row r="330" spans="1:7" ht="12.75" customHeight="1" x14ac:dyDescent="0.3">
      <c r="A330" s="1" t="s">
        <v>1142</v>
      </c>
      <c r="B330" s="1" t="s">
        <v>198</v>
      </c>
      <c r="C330" s="1" t="s">
        <v>1143</v>
      </c>
      <c r="D330" s="6">
        <v>1272</v>
      </c>
      <c r="E330" s="1" t="s">
        <v>156</v>
      </c>
      <c r="F330" s="2" t="str">
        <f>HYPERLINK("https://www.sciencedirect.com/journal/physics-open")</f>
        <v>https://www.sciencedirect.com/journal/physics-open</v>
      </c>
      <c r="G330" s="1" t="s">
        <v>1144</v>
      </c>
    </row>
    <row r="331" spans="1:7" ht="12.75" customHeight="1" x14ac:dyDescent="0.3">
      <c r="A331" s="1" t="s">
        <v>1145</v>
      </c>
      <c r="B331" s="1" t="s">
        <v>222</v>
      </c>
      <c r="C331" s="1" t="s">
        <v>1146</v>
      </c>
      <c r="D331" s="6">
        <v>1544</v>
      </c>
      <c r="E331" s="1" t="s">
        <v>386</v>
      </c>
      <c r="F331" s="2" t="str">
        <f>HYPERLINK("https://www.sciencedirect.com/journal/open-respiratory-archives")</f>
        <v>https://www.sciencedirect.com/journal/open-respiratory-archives</v>
      </c>
      <c r="G331" s="1" t="s">
        <v>1147</v>
      </c>
    </row>
    <row r="332" spans="1:7" ht="12.75" customHeight="1" x14ac:dyDescent="0.3">
      <c r="A332" s="1" t="s">
        <v>1148</v>
      </c>
      <c r="B332" s="1" t="s">
        <v>364</v>
      </c>
      <c r="C332" s="1" t="s">
        <v>1149</v>
      </c>
      <c r="D332" s="6">
        <v>1960</v>
      </c>
      <c r="E332" s="1" t="s">
        <v>156</v>
      </c>
      <c r="F332" s="2" t="str">
        <f>HYPERLINK("https://www.sciencedirect.com/journal/current-research-in-environmental-sustainability")</f>
        <v>https://www.sciencedirect.com/journal/current-research-in-environmental-sustainability</v>
      </c>
      <c r="G332" s="1" t="s">
        <v>1150</v>
      </c>
    </row>
    <row r="333" spans="1:7" ht="12.75" customHeight="1" x14ac:dyDescent="0.3">
      <c r="A333" s="1" t="s">
        <v>1151</v>
      </c>
      <c r="B333" s="1" t="s">
        <v>840</v>
      </c>
      <c r="C333" s="1" t="s">
        <v>1152</v>
      </c>
      <c r="D333" s="6">
        <v>2088</v>
      </c>
      <c r="E333" s="1" t="s">
        <v>156</v>
      </c>
      <c r="F333" s="2" t="str">
        <f>HYPERLINK("https://www.sciencedirect.com/journal/sensors-and-actuators-reports")</f>
        <v>https://www.sciencedirect.com/journal/sensors-and-actuators-reports</v>
      </c>
      <c r="G333" s="1" t="s">
        <v>1153</v>
      </c>
    </row>
    <row r="334" spans="1:7" ht="12.75" customHeight="1" x14ac:dyDescent="0.3">
      <c r="A334" s="1" t="s">
        <v>1154</v>
      </c>
      <c r="B334" s="1" t="s">
        <v>222</v>
      </c>
      <c r="C334" s="1" t="s">
        <v>1155</v>
      </c>
      <c r="D334" s="6">
        <v>1496</v>
      </c>
      <c r="E334" s="1" t="s">
        <v>158</v>
      </c>
      <c r="F334" s="2" t="str">
        <f>HYPERLINK("https://www.sciencedirect.com/journal/arthroscopy-sports-medicine-and-rehabilitation")</f>
        <v>https://www.sciencedirect.com/journal/arthroscopy-sports-medicine-and-rehabilitation</v>
      </c>
      <c r="G334" s="1" t="s">
        <v>1156</v>
      </c>
    </row>
    <row r="335" spans="1:7" ht="12.75" customHeight="1" x14ac:dyDescent="0.3">
      <c r="A335" s="1" t="s">
        <v>1157</v>
      </c>
      <c r="B335" s="1" t="s">
        <v>107</v>
      </c>
      <c r="C335" s="1" t="s">
        <v>1158</v>
      </c>
      <c r="D335" s="6">
        <v>1224</v>
      </c>
      <c r="E335" s="1" t="s">
        <v>156</v>
      </c>
      <c r="F335" s="2" t="str">
        <f>HYPERLINK("https://www.sciencedirect.com/journal/star-protocols")</f>
        <v>https://www.sciencedirect.com/journal/star-protocols</v>
      </c>
      <c r="G335" s="1" t="s">
        <v>1159</v>
      </c>
    </row>
    <row r="336" spans="1:7" ht="12.75" customHeight="1" x14ac:dyDescent="0.3">
      <c r="A336" s="1" t="s">
        <v>1160</v>
      </c>
      <c r="B336" s="1" t="s">
        <v>1161</v>
      </c>
      <c r="C336" s="1" t="s">
        <v>1162</v>
      </c>
      <c r="D336" s="6">
        <v>2248</v>
      </c>
      <c r="E336" s="1" t="s">
        <v>156</v>
      </c>
      <c r="F336" s="2" t="str">
        <f>HYPERLINK("https://www.sciencedirect.com/journal/current-research-in-green-and-sustainable-chemistry")</f>
        <v>https://www.sciencedirect.com/journal/current-research-in-green-and-sustainable-chemistry</v>
      </c>
      <c r="G336" s="1" t="s">
        <v>1163</v>
      </c>
    </row>
    <row r="337" spans="1:7" ht="12.75" customHeight="1" x14ac:dyDescent="0.3">
      <c r="A337" s="1" t="s">
        <v>1164</v>
      </c>
      <c r="B337" s="1" t="s">
        <v>168</v>
      </c>
      <c r="C337" s="1" t="s">
        <v>1165</v>
      </c>
      <c r="D337" s="6">
        <v>1976</v>
      </c>
      <c r="E337" s="1" t="s">
        <v>156</v>
      </c>
      <c r="F337" s="2" t="str">
        <f>HYPERLINK("https://www.sciencedirect.com/journal/journal-of-agriculture-and-food-research")</f>
        <v>https://www.sciencedirect.com/journal/journal-of-agriculture-and-food-research</v>
      </c>
      <c r="G337" s="1" t="s">
        <v>1166</v>
      </c>
    </row>
    <row r="338" spans="1:7" ht="12.75" customHeight="1" x14ac:dyDescent="0.3">
      <c r="A338" s="1" t="s">
        <v>1167</v>
      </c>
      <c r="B338" s="1" t="s">
        <v>241</v>
      </c>
      <c r="C338" s="1" t="s">
        <v>1168</v>
      </c>
      <c r="D338" s="6">
        <v>2192</v>
      </c>
      <c r="E338" s="1" t="s">
        <v>156</v>
      </c>
      <c r="F338" s="2" t="str">
        <f>HYPERLINK("https://www.sciencedirect.com/journal/international-journal-of-nursing-studies-advances")</f>
        <v>https://www.sciencedirect.com/journal/international-journal-of-nursing-studies-advances</v>
      </c>
      <c r="G338" s="1" t="s">
        <v>1169</v>
      </c>
    </row>
    <row r="339" spans="1:7" ht="12.75" customHeight="1" x14ac:dyDescent="0.3">
      <c r="A339" s="1" t="s">
        <v>1170</v>
      </c>
      <c r="B339" s="1" t="s">
        <v>222</v>
      </c>
      <c r="C339" s="1" t="s">
        <v>1171</v>
      </c>
      <c r="D339" s="6">
        <v>2304</v>
      </c>
      <c r="E339" s="1" t="s">
        <v>156</v>
      </c>
      <c r="F339" s="2" t="str">
        <f>HYPERLINK("https://www.sciencedirect.com/journal/biomarkers-in-neuropsychiatry")</f>
        <v>https://www.sciencedirect.com/journal/biomarkers-in-neuropsychiatry</v>
      </c>
      <c r="G339" s="1" t="s">
        <v>1172</v>
      </c>
    </row>
    <row r="340" spans="1:7" ht="12.75" customHeight="1" x14ac:dyDescent="0.3">
      <c r="A340" s="1" t="s">
        <v>1173</v>
      </c>
      <c r="B340" s="1" t="s">
        <v>1174</v>
      </c>
      <c r="C340" s="1" t="s">
        <v>1175</v>
      </c>
      <c r="D340" s="6">
        <v>1752</v>
      </c>
      <c r="E340" s="1" t="s">
        <v>156</v>
      </c>
      <c r="F340" s="2" t="str">
        <f>HYPERLINK("https://www.sciencedirect.com/journal/sustainable-futures")</f>
        <v>https://www.sciencedirect.com/journal/sustainable-futures</v>
      </c>
      <c r="G340" s="1" t="s">
        <v>1176</v>
      </c>
    </row>
    <row r="341" spans="1:7" ht="12.75" customHeight="1" x14ac:dyDescent="0.3">
      <c r="A341" s="1" t="s">
        <v>1177</v>
      </c>
      <c r="B341" s="1" t="s">
        <v>1178</v>
      </c>
      <c r="C341" s="1" t="s">
        <v>1179</v>
      </c>
      <c r="D341" s="6">
        <v>2416</v>
      </c>
      <c r="E341" s="1" t="s">
        <v>156</v>
      </c>
      <c r="F341" s="2" t="str">
        <f>HYPERLINK("https://www.sciencedirect.com/journal/developments-in-the-built-environment")</f>
        <v>https://www.sciencedirect.com/journal/developments-in-the-built-environment</v>
      </c>
      <c r="G341" s="1" t="s">
        <v>1180</v>
      </c>
    </row>
    <row r="342" spans="1:7" ht="12.75" customHeight="1" x14ac:dyDescent="0.3">
      <c r="A342" s="1" t="s">
        <v>1181</v>
      </c>
      <c r="B342" s="1" t="s">
        <v>160</v>
      </c>
      <c r="C342" s="1" t="s">
        <v>1182</v>
      </c>
      <c r="D342" s="6">
        <v>1736</v>
      </c>
      <c r="E342" s="1" t="s">
        <v>156</v>
      </c>
      <c r="F342" s="2" t="str">
        <f>HYPERLINK("https://www.sciencedirect.com/journal/international-journal-of-thermofluids")</f>
        <v>https://www.sciencedirect.com/journal/international-journal-of-thermofluids</v>
      </c>
      <c r="G342" s="1" t="s">
        <v>1183</v>
      </c>
    </row>
    <row r="343" spans="1:7" ht="12.75" customHeight="1" x14ac:dyDescent="0.3">
      <c r="A343" s="1" t="s">
        <v>1184</v>
      </c>
      <c r="B343" s="1" t="s">
        <v>218</v>
      </c>
      <c r="C343" s="1" t="s">
        <v>1185</v>
      </c>
      <c r="D343" s="6">
        <v>1680</v>
      </c>
      <c r="E343" s="1" t="s">
        <v>156</v>
      </c>
      <c r="F343" s="2" t="str">
        <f>HYPERLINK("https://www.sciencedirect.com/journal/systems-and-soft-computing")</f>
        <v>https://www.sciencedirect.com/journal/systems-and-soft-computing</v>
      </c>
      <c r="G343" s="1" t="s">
        <v>1186</v>
      </c>
    </row>
    <row r="344" spans="1:7" ht="12.75" customHeight="1" x14ac:dyDescent="0.3">
      <c r="A344" s="1" t="s">
        <v>1187</v>
      </c>
      <c r="B344" s="1" t="s">
        <v>1188</v>
      </c>
      <c r="C344" s="1" t="s">
        <v>1189</v>
      </c>
      <c r="D344" s="6">
        <v>2592</v>
      </c>
      <c r="E344" s="1" t="s">
        <v>156</v>
      </c>
      <c r="F344" s="2" t="str">
        <f>HYPERLINK("https://www.sciencedirect.com/journal/journal-of-power-sources-advances")</f>
        <v>https://www.sciencedirect.com/journal/journal-of-power-sources-advances</v>
      </c>
      <c r="G344" s="1" t="s">
        <v>1190</v>
      </c>
    </row>
    <row r="345" spans="1:7" ht="12.75" customHeight="1" x14ac:dyDescent="0.3">
      <c r="A345" s="1" t="s">
        <v>1191</v>
      </c>
      <c r="B345" s="1" t="s">
        <v>176</v>
      </c>
      <c r="C345" s="1" t="s">
        <v>1192</v>
      </c>
      <c r="D345" s="6">
        <v>2080</v>
      </c>
      <c r="E345" s="1" t="s">
        <v>156</v>
      </c>
      <c r="F345" s="2" t="str">
        <f>HYPERLINK("https://www.sciencedirect.com/journal/cerebral-circulation-cognition-and-behavior")</f>
        <v>https://www.sciencedirect.com/journal/cerebral-circulation-cognition-and-behavior</v>
      </c>
      <c r="G345" s="1" t="s">
        <v>1193</v>
      </c>
    </row>
    <row r="346" spans="1:7" ht="12.75" customHeight="1" x14ac:dyDescent="0.3">
      <c r="A346" s="1" t="s">
        <v>1194</v>
      </c>
      <c r="B346" s="1" t="s">
        <v>187</v>
      </c>
      <c r="C346" s="1" t="s">
        <v>1195</v>
      </c>
      <c r="D346" s="6">
        <v>2488</v>
      </c>
      <c r="E346" s="1" t="s">
        <v>156</v>
      </c>
      <c r="F346" s="2" t="str">
        <f>HYPERLINK("https://www.sciencedirect.com/journal/brain-behavior-and-immunity-health")</f>
        <v>https://www.sciencedirect.com/journal/brain-behavior-and-immunity-health</v>
      </c>
      <c r="G346" s="1" t="s">
        <v>1196</v>
      </c>
    </row>
    <row r="347" spans="1:7" ht="12.75" customHeight="1" x14ac:dyDescent="0.3">
      <c r="A347" s="1" t="s">
        <v>1197</v>
      </c>
      <c r="B347" s="1" t="s">
        <v>222</v>
      </c>
      <c r="C347" s="1" t="s">
        <v>1198</v>
      </c>
      <c r="D347" s="6">
        <v>1816</v>
      </c>
      <c r="E347" s="1" t="s">
        <v>158</v>
      </c>
      <c r="F347" s="2" t="str">
        <f>HYPERLINK("https://www.sciencedirect.com/journal/jtcvs-open")</f>
        <v>https://www.sciencedirect.com/journal/jtcvs-open</v>
      </c>
      <c r="G347" s="1" t="s">
        <v>1199</v>
      </c>
    </row>
    <row r="348" spans="1:7" ht="12.75" customHeight="1" x14ac:dyDescent="0.3">
      <c r="A348" s="1" t="s">
        <v>1200</v>
      </c>
      <c r="B348" s="1" t="s">
        <v>222</v>
      </c>
      <c r="C348" s="1" t="s">
        <v>1201</v>
      </c>
      <c r="D348" s="6">
        <v>1912</v>
      </c>
      <c r="E348" s="1" t="s">
        <v>158</v>
      </c>
      <c r="F348" s="2" t="str">
        <f>HYPERLINK("https://www.sciencedirect.com/journal/jtcvs-techniques")</f>
        <v>https://www.sciencedirect.com/journal/jtcvs-techniques</v>
      </c>
      <c r="G348" s="1" t="s">
        <v>1202</v>
      </c>
    </row>
    <row r="349" spans="1:7" ht="12.75" customHeight="1" x14ac:dyDescent="0.3">
      <c r="A349" s="1" t="s">
        <v>1203</v>
      </c>
      <c r="B349" s="1" t="s">
        <v>107</v>
      </c>
      <c r="C349" s="1" t="s">
        <v>1204</v>
      </c>
      <c r="D349" s="6">
        <v>2601</v>
      </c>
      <c r="E349" s="1" t="s">
        <v>158</v>
      </c>
      <c r="F349" s="2" t="str">
        <f>HYPERLINK("https://www.sciencedirect.com/journal/human-genetics-and-genomics-advances")</f>
        <v>https://www.sciencedirect.com/journal/human-genetics-and-genomics-advances</v>
      </c>
      <c r="G349" s="1" t="s">
        <v>1205</v>
      </c>
    </row>
    <row r="350" spans="1:7" ht="12.75" customHeight="1" x14ac:dyDescent="0.3">
      <c r="A350" s="1" t="s">
        <v>1206</v>
      </c>
      <c r="B350" s="1" t="s">
        <v>322</v>
      </c>
      <c r="C350" s="1" t="s">
        <v>1207</v>
      </c>
      <c r="D350" s="6">
        <v>1616</v>
      </c>
      <c r="E350" s="1" t="s">
        <v>156</v>
      </c>
      <c r="F350" s="2" t="str">
        <f>HYPERLINK("https://www.sciencedirect.com/journal/surgery-in-practice-and-science")</f>
        <v>https://www.sciencedirect.com/journal/surgery-in-practice-and-science</v>
      </c>
      <c r="G350" s="1" t="s">
        <v>1208</v>
      </c>
    </row>
    <row r="351" spans="1:7" ht="12.75" customHeight="1" x14ac:dyDescent="0.3">
      <c r="A351" s="1" t="s">
        <v>1209</v>
      </c>
      <c r="B351" s="1" t="s">
        <v>168</v>
      </c>
      <c r="C351" s="1" t="s">
        <v>1210</v>
      </c>
      <c r="D351" s="6">
        <v>1944</v>
      </c>
      <c r="E351" s="1" t="s">
        <v>158</v>
      </c>
      <c r="F351" s="2" t="str">
        <f>HYPERLINK("https://www.sciencedirect.com/journal/poultry-science")</f>
        <v>https://www.sciencedirect.com/journal/poultry-science</v>
      </c>
      <c r="G351" s="1" t="s">
        <v>1211</v>
      </c>
    </row>
    <row r="352" spans="1:7" ht="12.75" customHeight="1" x14ac:dyDescent="0.3">
      <c r="A352" s="1" t="s">
        <v>1212</v>
      </c>
      <c r="B352" s="1" t="s">
        <v>168</v>
      </c>
      <c r="C352" s="1" t="s">
        <v>1213</v>
      </c>
      <c r="D352" s="6">
        <v>1720</v>
      </c>
      <c r="E352" s="1" t="s">
        <v>158</v>
      </c>
      <c r="F352" s="2" t="str">
        <f>HYPERLINK("https://www.sciencedirect.com/journal/journal-of-applied-poultry-research")</f>
        <v>https://www.sciencedirect.com/journal/journal-of-applied-poultry-research</v>
      </c>
      <c r="G352" s="1" t="s">
        <v>1214</v>
      </c>
    </row>
    <row r="353" spans="1:7" ht="12.75" customHeight="1" x14ac:dyDescent="0.3">
      <c r="A353" s="1" t="s">
        <v>1215</v>
      </c>
      <c r="B353" s="1" t="s">
        <v>309</v>
      </c>
      <c r="C353" s="1" t="s">
        <v>1216</v>
      </c>
      <c r="D353" s="6">
        <v>1688</v>
      </c>
      <c r="E353" s="1" t="s">
        <v>156</v>
      </c>
      <c r="F353" s="2" t="str">
        <f>HYPERLINK("https://www.sciencedirect.com/journal/computers-in-human-behavior-reports")</f>
        <v>https://www.sciencedirect.com/journal/computers-in-human-behavior-reports</v>
      </c>
      <c r="G353" s="1" t="s">
        <v>1217</v>
      </c>
    </row>
    <row r="354" spans="1:7" ht="12.75" customHeight="1" x14ac:dyDescent="0.3">
      <c r="A354" s="1" t="s">
        <v>1218</v>
      </c>
      <c r="B354" s="1" t="s">
        <v>1219</v>
      </c>
      <c r="C354" s="1" t="s">
        <v>1220</v>
      </c>
      <c r="D354" s="6">
        <v>1800</v>
      </c>
      <c r="E354" s="1" t="s">
        <v>156</v>
      </c>
      <c r="F354" s="2" t="str">
        <f>HYPERLINK("https://www.sciencedirect.com/journal/journal-of-advanced-joining-processes")</f>
        <v>https://www.sciencedirect.com/journal/journal-of-advanced-joining-processes</v>
      </c>
      <c r="G354" s="1" t="s">
        <v>1221</v>
      </c>
    </row>
    <row r="355" spans="1:7" ht="12.75" customHeight="1" x14ac:dyDescent="0.3">
      <c r="A355" s="1" t="s">
        <v>1222</v>
      </c>
      <c r="B355" s="1" t="s">
        <v>166</v>
      </c>
      <c r="C355" s="1" t="s">
        <v>1223</v>
      </c>
      <c r="D355" s="6">
        <v>1696</v>
      </c>
      <c r="E355" s="1" t="s">
        <v>156</v>
      </c>
      <c r="F355" s="2" t="str">
        <f>HYPERLINK("https://www.sciencedirect.com/journal/international-journal-of-educational-research-open")</f>
        <v>https://www.sciencedirect.com/journal/international-journal-of-educational-research-open</v>
      </c>
      <c r="G355" s="1" t="s">
        <v>1224</v>
      </c>
    </row>
    <row r="356" spans="1:7" ht="12.75" customHeight="1" x14ac:dyDescent="0.3">
      <c r="A356" s="1" t="s">
        <v>1225</v>
      </c>
      <c r="B356" s="1" t="s">
        <v>222</v>
      </c>
      <c r="C356" s="1" t="s">
        <v>1226</v>
      </c>
      <c r="D356" s="6">
        <v>1928</v>
      </c>
      <c r="E356" s="1" t="s">
        <v>505</v>
      </c>
      <c r="F356" s="2" t="str">
        <f>HYPERLINK("https://www.sciencedirect.com/journal/jaad-international")</f>
        <v>https://www.sciencedirect.com/journal/jaad-international</v>
      </c>
      <c r="G356" s="1" t="s">
        <v>1227</v>
      </c>
    </row>
    <row r="357" spans="1:7" ht="12.75" customHeight="1" x14ac:dyDescent="0.3">
      <c r="A357" s="1" t="s">
        <v>1228</v>
      </c>
      <c r="B357" s="1" t="s">
        <v>222</v>
      </c>
      <c r="C357" s="1" t="s">
        <v>1229</v>
      </c>
      <c r="D357" s="6">
        <v>2096</v>
      </c>
      <c r="E357" s="1" t="s">
        <v>158</v>
      </c>
      <c r="F357" s="2" t="str">
        <f>HYPERLINK("https://www.sciencedirect.com/journal/jvs-vascular-science")</f>
        <v>https://www.sciencedirect.com/journal/jvs-vascular-science</v>
      </c>
      <c r="G357" s="1" t="s">
        <v>1230</v>
      </c>
    </row>
    <row r="358" spans="1:7" ht="12.75" customHeight="1" x14ac:dyDescent="0.3">
      <c r="A358" s="1" t="s">
        <v>1231</v>
      </c>
      <c r="B358" s="1" t="s">
        <v>1232</v>
      </c>
      <c r="C358" s="1" t="s">
        <v>1233</v>
      </c>
      <c r="D358" s="6">
        <v>1712</v>
      </c>
      <c r="E358" s="1" t="s">
        <v>156</v>
      </c>
      <c r="F358" s="2" t="str">
        <f>HYPERLINK("https://www.sciencedirect.com/journal/applications-in-energy-and-combustion-science")</f>
        <v>https://www.sciencedirect.com/journal/applications-in-energy-and-combustion-science</v>
      </c>
      <c r="G358" s="1" t="s">
        <v>1234</v>
      </c>
    </row>
    <row r="359" spans="1:7" ht="12.75" customHeight="1" x14ac:dyDescent="0.3">
      <c r="A359" s="1" t="s">
        <v>1235</v>
      </c>
      <c r="B359" s="1" t="s">
        <v>166</v>
      </c>
      <c r="C359" s="1" t="s">
        <v>1236</v>
      </c>
      <c r="D359" s="6">
        <v>1408</v>
      </c>
      <c r="E359" s="1" t="s">
        <v>156</v>
      </c>
      <c r="F359" s="2" t="str">
        <f>HYPERLINK("https://www.sciencedirect.com/journal/digital-geography-and-society")</f>
        <v>https://www.sciencedirect.com/journal/digital-geography-and-society</v>
      </c>
      <c r="G359" s="1" t="s">
        <v>1237</v>
      </c>
    </row>
    <row r="360" spans="1:7" ht="12.75" customHeight="1" x14ac:dyDescent="0.3">
      <c r="A360" s="1" t="s">
        <v>1238</v>
      </c>
      <c r="B360" s="1" t="s">
        <v>276</v>
      </c>
      <c r="C360" s="1" t="s">
        <v>1239</v>
      </c>
      <c r="D360" s="6">
        <v>3859</v>
      </c>
      <c r="E360" s="1" t="s">
        <v>156</v>
      </c>
      <c r="F360" s="2" t="str">
        <f>HYPERLINK("https://www.sciencedirect.com/journal/patterns")</f>
        <v>https://www.sciencedirect.com/journal/patterns</v>
      </c>
      <c r="G360" s="1" t="s">
        <v>1240</v>
      </c>
    </row>
    <row r="361" spans="1:7" ht="12.75" customHeight="1" x14ac:dyDescent="0.3">
      <c r="A361" s="1" t="s">
        <v>1241</v>
      </c>
      <c r="B361" s="1" t="s">
        <v>160</v>
      </c>
      <c r="C361" s="1" t="s">
        <v>1242</v>
      </c>
      <c r="D361" s="6">
        <v>1768</v>
      </c>
      <c r="E361" s="1" t="s">
        <v>156</v>
      </c>
      <c r="F361" s="2" t="str">
        <f>HYPERLINK("https://www.sciencedirect.com/journal/forces-in-mechanics")</f>
        <v>https://www.sciencedirect.com/journal/forces-in-mechanics</v>
      </c>
      <c r="G361" s="1" t="s">
        <v>1243</v>
      </c>
    </row>
    <row r="362" spans="1:7" ht="12.75" customHeight="1" x14ac:dyDescent="0.3">
      <c r="A362" s="1" t="s">
        <v>1244</v>
      </c>
      <c r="B362" s="1" t="s">
        <v>222</v>
      </c>
      <c r="C362" s="1" t="s">
        <v>1245</v>
      </c>
      <c r="D362" s="6">
        <v>4428.5</v>
      </c>
      <c r="E362" s="1" t="s">
        <v>156</v>
      </c>
      <c r="F362" s="2" t="str">
        <f>HYPERLINK("https://www.sciencedirect.com/journal/cell-reports-medicine")</f>
        <v>https://www.sciencedirect.com/journal/cell-reports-medicine</v>
      </c>
      <c r="G362" s="1" t="s">
        <v>1246</v>
      </c>
    </row>
    <row r="363" spans="1:7" ht="12.75" customHeight="1" x14ac:dyDescent="0.3">
      <c r="A363" s="1" t="s">
        <v>1247</v>
      </c>
      <c r="B363" s="1" t="s">
        <v>1248</v>
      </c>
      <c r="C363" s="1" t="s">
        <v>1249</v>
      </c>
      <c r="D363" s="6">
        <v>4428.5</v>
      </c>
      <c r="E363" s="1" t="s">
        <v>156</v>
      </c>
      <c r="F363" s="2" t="str">
        <f>HYPERLINK("https://www.sciencedirect.com/journal/cell-reports-physical-science")</f>
        <v>https://www.sciencedirect.com/journal/cell-reports-physical-science</v>
      </c>
      <c r="G363" s="1" t="s">
        <v>1250</v>
      </c>
    </row>
    <row r="364" spans="1:7" ht="12.75" customHeight="1" x14ac:dyDescent="0.3">
      <c r="A364" s="1" t="s">
        <v>1251</v>
      </c>
      <c r="B364" s="1" t="s">
        <v>176</v>
      </c>
      <c r="C364" s="1" t="s">
        <v>1252</v>
      </c>
      <c r="D364" s="6">
        <v>2176</v>
      </c>
      <c r="E364" s="1" t="s">
        <v>156</v>
      </c>
      <c r="F364" s="2" t="str">
        <f>HYPERLINK("https://www.sciencedirect.com/journal/endocrine-and-metabolic-science")</f>
        <v>https://www.sciencedirect.com/journal/endocrine-and-metabolic-science</v>
      </c>
      <c r="G364" s="1" t="s">
        <v>1253</v>
      </c>
    </row>
    <row r="365" spans="1:7" ht="12.75" customHeight="1" x14ac:dyDescent="0.3">
      <c r="A365" s="1" t="s">
        <v>1254</v>
      </c>
      <c r="B365" s="1" t="s">
        <v>164</v>
      </c>
      <c r="C365" s="1" t="s">
        <v>1255</v>
      </c>
      <c r="D365" s="6">
        <v>1680</v>
      </c>
      <c r="E365" s="1" t="s">
        <v>156</v>
      </c>
      <c r="F365" s="2" t="str">
        <f>HYPERLINK("https://www.sciencedirect.com/journal/journal-of-magnetic-resonance-open")</f>
        <v>https://www.sciencedirect.com/journal/journal-of-magnetic-resonance-open</v>
      </c>
      <c r="G365" s="1" t="s">
        <v>1256</v>
      </c>
    </row>
    <row r="366" spans="1:7" ht="12.75" customHeight="1" x14ac:dyDescent="0.3">
      <c r="A366" s="1" t="s">
        <v>1257</v>
      </c>
      <c r="B366" s="1" t="s">
        <v>222</v>
      </c>
      <c r="C366" s="1" t="s">
        <v>1258</v>
      </c>
      <c r="D366" s="6">
        <v>1496</v>
      </c>
      <c r="E366" s="1" t="s">
        <v>158</v>
      </c>
      <c r="F366" s="2" t="str">
        <f>HYPERLINK("https://www.sciencedirect.com/journal/jto-clinical-and-research-reports")</f>
        <v>https://www.sciencedirect.com/journal/jto-clinical-and-research-reports</v>
      </c>
      <c r="G366" s="1" t="s">
        <v>1259</v>
      </c>
    </row>
    <row r="367" spans="1:7" ht="12.75" customHeight="1" x14ac:dyDescent="0.3">
      <c r="A367" s="1" t="s">
        <v>1260</v>
      </c>
      <c r="B367" s="1" t="s">
        <v>160</v>
      </c>
      <c r="C367" s="1" t="s">
        <v>1261</v>
      </c>
      <c r="D367" s="6">
        <v>1808</v>
      </c>
      <c r="E367" s="1" t="s">
        <v>156</v>
      </c>
      <c r="F367" s="2" t="str">
        <f>HYPERLINK("https://www.sciencedirect.com/journal/applications-in-engineering-science")</f>
        <v>https://www.sciencedirect.com/journal/applications-in-engineering-science</v>
      </c>
      <c r="G367" s="1" t="s">
        <v>1262</v>
      </c>
    </row>
    <row r="368" spans="1:7" ht="12.75" customHeight="1" x14ac:dyDescent="0.3">
      <c r="A368" s="1" t="s">
        <v>1263</v>
      </c>
      <c r="B368" s="1" t="s">
        <v>164</v>
      </c>
      <c r="C368" s="1" t="s">
        <v>1264</v>
      </c>
      <c r="D368" s="6">
        <v>1440</v>
      </c>
      <c r="E368" s="1" t="s">
        <v>156</v>
      </c>
      <c r="F368" s="2" t="str">
        <f>HYPERLINK("https://www.sciencedirect.com/journal/journal-of-photochemistry-and-photobiology")</f>
        <v>https://www.sciencedirect.com/journal/journal-of-photochemistry-and-photobiology</v>
      </c>
      <c r="G368" s="1" t="s">
        <v>1265</v>
      </c>
    </row>
    <row r="369" spans="1:7" ht="12.75" customHeight="1" x14ac:dyDescent="0.3">
      <c r="A369" s="1" t="s">
        <v>1266</v>
      </c>
      <c r="B369" s="1" t="s">
        <v>222</v>
      </c>
      <c r="C369" s="1" t="s">
        <v>1267</v>
      </c>
      <c r="D369" s="6">
        <v>1608</v>
      </c>
      <c r="E369" s="1" t="s">
        <v>158</v>
      </c>
      <c r="F369" s="2" t="str">
        <f>HYPERLINK("https://www.sciencedirect.com/journal/heart-rhythm-o2")</f>
        <v>https://www.sciencedirect.com/journal/heart-rhythm-o2</v>
      </c>
      <c r="G369" s="1" t="s">
        <v>1268</v>
      </c>
    </row>
    <row r="370" spans="1:7" ht="12.75" customHeight="1" x14ac:dyDescent="0.3">
      <c r="A370" s="1" t="s">
        <v>1269</v>
      </c>
      <c r="B370" s="1" t="s">
        <v>176</v>
      </c>
      <c r="C370" s="1" t="s">
        <v>1270</v>
      </c>
      <c r="D370" s="6">
        <v>1624</v>
      </c>
      <c r="E370" s="1" t="s">
        <v>156</v>
      </c>
      <c r="F370" s="2" t="str">
        <f>HYPERLINK("https://www.sciencedirect.com/journal/brain-disorders")</f>
        <v>https://www.sciencedirect.com/journal/brain-disorders</v>
      </c>
      <c r="G370" s="1" t="s">
        <v>1271</v>
      </c>
    </row>
    <row r="371" spans="1:7" ht="12.75" customHeight="1" x14ac:dyDescent="0.3">
      <c r="A371" s="1" t="s">
        <v>1272</v>
      </c>
      <c r="B371" s="1" t="s">
        <v>201</v>
      </c>
      <c r="C371" s="1" t="s">
        <v>1273</v>
      </c>
      <c r="D371" s="6">
        <v>1048</v>
      </c>
      <c r="E371" s="1" t="s">
        <v>158</v>
      </c>
      <c r="F371" s="2" t="str">
        <f>HYPERLINK("https://www.sciencedirect.com/journal/euro-journal-on-transportation-and-logistics")</f>
        <v>https://www.sciencedirect.com/journal/euro-journal-on-transportation-and-logistics</v>
      </c>
      <c r="G371" s="1" t="s">
        <v>1274</v>
      </c>
    </row>
    <row r="372" spans="1:7" ht="12.75" customHeight="1" x14ac:dyDescent="0.3">
      <c r="A372" s="1" t="s">
        <v>1275</v>
      </c>
      <c r="B372" s="1" t="s">
        <v>193</v>
      </c>
      <c r="C372" s="1" t="s">
        <v>1276</v>
      </c>
      <c r="D372" s="6">
        <v>6366.5</v>
      </c>
      <c r="E372" s="1" t="s">
        <v>156</v>
      </c>
      <c r="F372" s="2" t="str">
        <f>HYPERLINK("https://www.sciencedirect.com/journal/the-lancet-microbe")</f>
        <v>https://www.sciencedirect.com/journal/the-lancet-microbe</v>
      </c>
      <c r="G372" s="1" t="s">
        <v>1277</v>
      </c>
    </row>
    <row r="373" spans="1:7" ht="12.75" customHeight="1" x14ac:dyDescent="0.3">
      <c r="A373" s="1" t="s">
        <v>1278</v>
      </c>
      <c r="B373" s="1" t="s">
        <v>1279</v>
      </c>
      <c r="C373" s="1" t="s">
        <v>1280</v>
      </c>
      <c r="D373" s="6">
        <v>1496</v>
      </c>
      <c r="E373" s="1" t="s">
        <v>158</v>
      </c>
      <c r="F373" s="2" t="str">
        <f>HYPERLINK("https://www.sciencedirect.com/journal/environmental-science-and-ecotechnology")</f>
        <v>https://www.sciencedirect.com/journal/environmental-science-and-ecotechnology</v>
      </c>
      <c r="G373" s="1" t="s">
        <v>1281</v>
      </c>
    </row>
    <row r="374" spans="1:7" ht="12.75" customHeight="1" x14ac:dyDescent="0.3">
      <c r="A374" s="1" t="s">
        <v>1282</v>
      </c>
      <c r="B374" s="1" t="s">
        <v>222</v>
      </c>
      <c r="C374" s="1" t="s">
        <v>1283</v>
      </c>
      <c r="D374" s="6">
        <v>1880</v>
      </c>
      <c r="E374" s="1" t="s">
        <v>156</v>
      </c>
      <c r="F374" s="2" t="str">
        <f>HYPERLINK("https://www.sciencedirect.com/journal/comprehensive-psychoneuroendocrinology")</f>
        <v>https://www.sciencedirect.com/journal/comprehensive-psychoneuroendocrinology</v>
      </c>
      <c r="G374" s="1" t="s">
        <v>1284</v>
      </c>
    </row>
    <row r="375" spans="1:7" ht="12.75" customHeight="1" x14ac:dyDescent="0.3">
      <c r="A375" s="1" t="s">
        <v>1285</v>
      </c>
      <c r="B375" s="1" t="s">
        <v>222</v>
      </c>
      <c r="C375" s="1" t="s">
        <v>1286</v>
      </c>
      <c r="D375" s="6">
        <v>1872</v>
      </c>
      <c r="E375" s="1" t="s">
        <v>156</v>
      </c>
      <c r="F375" s="2" t="str">
        <f>HYPERLINK("https://www.sciencedirect.com/journal/intelligence-based-medicine")</f>
        <v>https://www.sciencedirect.com/journal/intelligence-based-medicine</v>
      </c>
      <c r="G375" s="1" t="s">
        <v>1287</v>
      </c>
    </row>
    <row r="376" spans="1:7" ht="12.75" customHeight="1" x14ac:dyDescent="0.3">
      <c r="A376" s="1" t="s">
        <v>1288</v>
      </c>
      <c r="B376" s="1" t="s">
        <v>1289</v>
      </c>
      <c r="C376" s="1" t="s">
        <v>1290</v>
      </c>
      <c r="D376" s="6">
        <v>1448</v>
      </c>
      <c r="E376" s="1" t="s">
        <v>156</v>
      </c>
      <c r="F376" s="2" t="str">
        <f>HYPERLINK("https://www.sciencedirect.com/journal/cement")</f>
        <v>https://www.sciencedirect.com/journal/cement</v>
      </c>
      <c r="G376" s="1" t="s">
        <v>1291</v>
      </c>
    </row>
    <row r="377" spans="1:7" ht="12.75" customHeight="1" x14ac:dyDescent="0.3">
      <c r="A377" s="1" t="s">
        <v>1292</v>
      </c>
      <c r="B377" s="1" t="s">
        <v>210</v>
      </c>
      <c r="C377" s="1" t="s">
        <v>1293</v>
      </c>
      <c r="D377" s="6">
        <v>1496</v>
      </c>
      <c r="E377" s="1" t="s">
        <v>158</v>
      </c>
      <c r="F377" s="2" t="str">
        <f>HYPERLINK("https://www.sciencedirect.com/journal/open-ceramics")</f>
        <v>https://www.sciencedirect.com/journal/open-ceramics</v>
      </c>
      <c r="G377" s="1" t="s">
        <v>1294</v>
      </c>
    </row>
    <row r="378" spans="1:7" ht="12.75" customHeight="1" x14ac:dyDescent="0.3">
      <c r="A378" s="1" t="s">
        <v>1295</v>
      </c>
      <c r="B378" s="1" t="s">
        <v>198</v>
      </c>
      <c r="C378" s="1" t="s">
        <v>1296</v>
      </c>
      <c r="D378" s="6">
        <v>2024</v>
      </c>
      <c r="E378" s="1" t="s">
        <v>156</v>
      </c>
      <c r="F378" s="2" t="str">
        <f>HYPERLINK("https://www.sciencedirect.com/journal/applied-surface-science-advances")</f>
        <v>https://www.sciencedirect.com/journal/applied-surface-science-advances</v>
      </c>
      <c r="G378" s="1" t="s">
        <v>1297</v>
      </c>
    </row>
    <row r="379" spans="1:7" ht="12.75" customHeight="1" x14ac:dyDescent="0.3">
      <c r="A379" s="1" t="s">
        <v>1298</v>
      </c>
      <c r="B379" s="1" t="s">
        <v>247</v>
      </c>
      <c r="C379" s="1" t="s">
        <v>1299</v>
      </c>
      <c r="D379" s="6">
        <v>2304</v>
      </c>
      <c r="E379" s="1" t="s">
        <v>156</v>
      </c>
      <c r="F379" s="2" t="str">
        <f>HYPERLINK("https://www.sciencedirect.com/journal/current-research-in-microbial-sciences")</f>
        <v>https://www.sciencedirect.com/journal/current-research-in-microbial-sciences</v>
      </c>
      <c r="G379" s="1" t="s">
        <v>1300</v>
      </c>
    </row>
    <row r="380" spans="1:7" ht="12.75" customHeight="1" x14ac:dyDescent="0.3">
      <c r="A380" s="1" t="s">
        <v>1301</v>
      </c>
      <c r="B380" s="1" t="s">
        <v>1302</v>
      </c>
      <c r="C380" s="1" t="s">
        <v>1303</v>
      </c>
      <c r="D380" s="6">
        <v>2992</v>
      </c>
      <c r="E380" s="1" t="s">
        <v>156</v>
      </c>
      <c r="F380" s="2" t="str">
        <f>HYPERLINK("https://www.sciencedirect.com/journal/current-research-in-behavioral-sciences")</f>
        <v>https://www.sciencedirect.com/journal/current-research-in-behavioral-sciences</v>
      </c>
      <c r="G380" s="1" t="s">
        <v>1304</v>
      </c>
    </row>
    <row r="381" spans="1:7" ht="12.75" customHeight="1" x14ac:dyDescent="0.3">
      <c r="A381" s="1" t="s">
        <v>1305</v>
      </c>
      <c r="B381" s="1" t="s">
        <v>168</v>
      </c>
      <c r="C381" s="1" t="s">
        <v>1306</v>
      </c>
      <c r="D381" s="6">
        <v>1592</v>
      </c>
      <c r="E381" s="1" t="s">
        <v>156</v>
      </c>
      <c r="F381" s="2" t="str">
        <f>HYPERLINK("https://www.sciencedirect.com/journal/current-research-in-insect-science")</f>
        <v>https://www.sciencedirect.com/journal/current-research-in-insect-science</v>
      </c>
      <c r="G381" s="1" t="s">
        <v>1307</v>
      </c>
    </row>
    <row r="382" spans="1:7" ht="12.75" customHeight="1" x14ac:dyDescent="0.3">
      <c r="A382" s="1" t="s">
        <v>1308</v>
      </c>
      <c r="B382" s="1" t="s">
        <v>222</v>
      </c>
      <c r="C382" s="1" t="s">
        <v>1309</v>
      </c>
      <c r="D382" s="6">
        <v>1544</v>
      </c>
      <c r="E382" s="1" t="s">
        <v>158</v>
      </c>
      <c r="F382" s="2" t="str">
        <f>HYPERLINK("https://www.sciencedirect.com/journal/public-health-in-practice")</f>
        <v>https://www.sciencedirect.com/journal/public-health-in-practice</v>
      </c>
      <c r="G382" s="1" t="s">
        <v>1310</v>
      </c>
    </row>
    <row r="383" spans="1:7" ht="12.75" customHeight="1" x14ac:dyDescent="0.3">
      <c r="A383" s="1" t="s">
        <v>1311</v>
      </c>
      <c r="B383" s="1" t="s">
        <v>319</v>
      </c>
      <c r="C383" s="1" t="s">
        <v>1312</v>
      </c>
      <c r="D383" s="6">
        <v>2048</v>
      </c>
      <c r="E383" s="1" t="s">
        <v>156</v>
      </c>
      <c r="F383" s="2" t="str">
        <f>HYPERLINK("https://www.sciencedirect.com/journal/resuscitation-plus")</f>
        <v>https://www.sciencedirect.com/journal/resuscitation-plus</v>
      </c>
      <c r="G383" s="1" t="s">
        <v>1313</v>
      </c>
    </row>
    <row r="384" spans="1:7" ht="12.75" customHeight="1" x14ac:dyDescent="0.3">
      <c r="A384" s="1" t="s">
        <v>1314</v>
      </c>
      <c r="B384" s="1" t="s">
        <v>222</v>
      </c>
      <c r="C384" s="1" t="s">
        <v>1315</v>
      </c>
      <c r="D384" s="6">
        <v>1640</v>
      </c>
      <c r="E384" s="1" t="s">
        <v>156</v>
      </c>
      <c r="F384" s="2" t="str">
        <f>HYPERLINK("https://www.sciencedirect.com/journal/thrombosis-update")</f>
        <v>https://www.sciencedirect.com/journal/thrombosis-update</v>
      </c>
      <c r="G384" s="1" t="s">
        <v>1316</v>
      </c>
    </row>
    <row r="385" spans="1:7" ht="12.75" customHeight="1" x14ac:dyDescent="0.3">
      <c r="A385" s="1" t="s">
        <v>1317</v>
      </c>
      <c r="B385" s="1" t="s">
        <v>193</v>
      </c>
      <c r="C385" s="1" t="s">
        <v>1318</v>
      </c>
      <c r="D385" s="6">
        <v>1456</v>
      </c>
      <c r="E385" s="1" t="s">
        <v>158</v>
      </c>
      <c r="F385" s="2" t="str">
        <f>HYPERLINK("https://www.sciencedirect.com/journal/north-american-spine-society-journal-nassj")</f>
        <v>https://www.sciencedirect.com/journal/north-american-spine-society-journal-nassj</v>
      </c>
      <c r="G385" s="1" t="s">
        <v>1319</v>
      </c>
    </row>
    <row r="386" spans="1:7" ht="12.75" customHeight="1" x14ac:dyDescent="0.3">
      <c r="A386" s="1" t="s">
        <v>1320</v>
      </c>
      <c r="B386" s="1" t="s">
        <v>222</v>
      </c>
      <c r="C386" s="1" t="s">
        <v>1321</v>
      </c>
      <c r="D386" s="6">
        <v>2160</v>
      </c>
      <c r="E386" s="1" t="s">
        <v>156</v>
      </c>
      <c r="F386" s="2" t="str">
        <f>HYPERLINK("https://www.sciencedirect.com/journal/american-heart-journal-plus-cardiology-research-and-practice")</f>
        <v>https://www.sciencedirect.com/journal/american-heart-journal-plus-cardiology-research-and-practice</v>
      </c>
      <c r="G386" s="1" t="s">
        <v>1322</v>
      </c>
    </row>
    <row r="387" spans="1:7" ht="12.75" customHeight="1" x14ac:dyDescent="0.3">
      <c r="A387" s="1" t="s">
        <v>1323</v>
      </c>
      <c r="B387" s="1" t="s">
        <v>182</v>
      </c>
      <c r="C387" s="1" t="s">
        <v>1324</v>
      </c>
      <c r="D387" s="6">
        <v>2160</v>
      </c>
      <c r="E387" s="1" t="s">
        <v>156</v>
      </c>
      <c r="F387" s="2" t="str">
        <f>HYPERLINK("https://www.sciencedirect.com/journal/giant")</f>
        <v>https://www.sciencedirect.com/journal/giant</v>
      </c>
      <c r="G387" s="1" t="s">
        <v>1325</v>
      </c>
    </row>
    <row r="388" spans="1:7" ht="12.75" customHeight="1" x14ac:dyDescent="0.3">
      <c r="A388" s="1" t="s">
        <v>1326</v>
      </c>
      <c r="B388" s="1" t="s">
        <v>210</v>
      </c>
      <c r="C388" s="1" t="s">
        <v>1327</v>
      </c>
      <c r="D388" s="6">
        <v>1752</v>
      </c>
      <c r="E388" s="1" t="s">
        <v>156</v>
      </c>
      <c r="F388" s="2" t="str">
        <f>HYPERLINK("https://www.sciencedirect.com/journal/biomaterials-and-biosystems")</f>
        <v>https://www.sciencedirect.com/journal/biomaterials-and-biosystems</v>
      </c>
      <c r="G388" s="1" t="s">
        <v>1328</v>
      </c>
    </row>
    <row r="389" spans="1:7" ht="12.75" customHeight="1" x14ac:dyDescent="0.3">
      <c r="A389" s="1" t="s">
        <v>1329</v>
      </c>
      <c r="B389" s="1" t="s">
        <v>192</v>
      </c>
      <c r="C389" s="1" t="s">
        <v>1330</v>
      </c>
      <c r="D389" s="6">
        <v>2984</v>
      </c>
      <c r="E389" s="1" t="s">
        <v>156</v>
      </c>
      <c r="F389" s="2" t="str">
        <f>HYPERLINK("https://www.sciencedirect.com/journal/energy-and-ai")</f>
        <v>https://www.sciencedirect.com/journal/energy-and-ai</v>
      </c>
      <c r="G389" s="1" t="s">
        <v>1331</v>
      </c>
    </row>
    <row r="390" spans="1:7" ht="12.75" customHeight="1" x14ac:dyDescent="0.3">
      <c r="A390" s="1" t="s">
        <v>1332</v>
      </c>
      <c r="B390" s="1" t="s">
        <v>166</v>
      </c>
      <c r="C390" s="1" t="s">
        <v>1333</v>
      </c>
      <c r="D390" s="6">
        <v>1248</v>
      </c>
      <c r="E390" s="1" t="s">
        <v>156</v>
      </c>
      <c r="F390" s="2" t="str">
        <f>HYPERLINK("https://www.sciencedirect.com/journal/computers-and-education-open")</f>
        <v>https://www.sciencedirect.com/journal/computers-and-education-open</v>
      </c>
      <c r="G390" s="1" t="s">
        <v>1334</v>
      </c>
    </row>
    <row r="391" spans="1:7" ht="12.75" customHeight="1" x14ac:dyDescent="0.3">
      <c r="A391" s="1" t="s">
        <v>1335</v>
      </c>
      <c r="B391" s="1" t="s">
        <v>222</v>
      </c>
      <c r="C391" s="1" t="s">
        <v>1336</v>
      </c>
      <c r="D391" s="6">
        <v>3723</v>
      </c>
      <c r="E391" s="1" t="s">
        <v>156</v>
      </c>
      <c r="F391" s="2" t="str">
        <f>HYPERLINK("https://www.sciencedirect.com/journal/the-lancet-regional-health-western-pacific")</f>
        <v>https://www.sciencedirect.com/journal/the-lancet-regional-health-western-pacific</v>
      </c>
      <c r="G391" s="1" t="s">
        <v>1337</v>
      </c>
    </row>
    <row r="392" spans="1:7" ht="12.75" customHeight="1" x14ac:dyDescent="0.3">
      <c r="A392" s="1" t="s">
        <v>1338</v>
      </c>
      <c r="B392" s="1" t="s">
        <v>222</v>
      </c>
      <c r="C392" s="1" t="s">
        <v>1339</v>
      </c>
      <c r="D392" s="6">
        <v>1496</v>
      </c>
      <c r="E392" s="1" t="s">
        <v>158</v>
      </c>
      <c r="F392" s="2" t="str">
        <f>HYPERLINK("https://www.sciencedirect.com/journal/f-and-s-reports")</f>
        <v>https://www.sciencedirect.com/journal/f-and-s-reports</v>
      </c>
      <c r="G392" s="1" t="s">
        <v>1340</v>
      </c>
    </row>
    <row r="393" spans="1:7" ht="12.75" customHeight="1" x14ac:dyDescent="0.3">
      <c r="A393" s="1" t="s">
        <v>1341</v>
      </c>
      <c r="B393" s="1" t="s">
        <v>250</v>
      </c>
      <c r="C393" s="1" t="s">
        <v>1342</v>
      </c>
      <c r="D393" s="6">
        <v>1784</v>
      </c>
      <c r="E393" s="1" t="s">
        <v>156</v>
      </c>
      <c r="F393" s="2" t="str">
        <f>HYPERLINK("https://www.sciencedirect.com/journal/ajog-global-reports")</f>
        <v>https://www.sciencedirect.com/journal/ajog-global-reports</v>
      </c>
      <c r="G393" s="1" t="s">
        <v>1343</v>
      </c>
    </row>
    <row r="394" spans="1:7" ht="12.75" customHeight="1" x14ac:dyDescent="0.3">
      <c r="A394" s="1" t="s">
        <v>1344</v>
      </c>
      <c r="B394" s="1" t="s">
        <v>1345</v>
      </c>
      <c r="C394" s="1" t="s">
        <v>1346</v>
      </c>
      <c r="D394" s="6">
        <v>1456</v>
      </c>
      <c r="E394" s="1" t="s">
        <v>158</v>
      </c>
      <c r="F394" s="2" t="str">
        <f>HYPERLINK("https://www.sciencedirect.com/journal/radiation-medicine-and-protection")</f>
        <v>https://www.sciencedirect.com/journal/radiation-medicine-and-protection</v>
      </c>
      <c r="G394" s="1" t="s">
        <v>1347</v>
      </c>
    </row>
    <row r="395" spans="1:7" ht="12.75" customHeight="1" x14ac:dyDescent="0.3">
      <c r="A395" s="1" t="s">
        <v>1348</v>
      </c>
      <c r="B395" s="1" t="s">
        <v>166</v>
      </c>
      <c r="C395" s="1" t="s">
        <v>1349</v>
      </c>
      <c r="D395" s="6">
        <v>1424</v>
      </c>
      <c r="E395" s="1" t="s">
        <v>156</v>
      </c>
      <c r="F395" s="2" t="str">
        <f>HYPERLINK("https://www.sciencedirect.com/journal/wellbeing-space-and-society")</f>
        <v>https://www.sciencedirect.com/journal/wellbeing-space-and-society</v>
      </c>
      <c r="G395" s="1" t="s">
        <v>1350</v>
      </c>
    </row>
    <row r="396" spans="1:7" ht="12.75" customHeight="1" x14ac:dyDescent="0.3">
      <c r="A396" s="1" t="s">
        <v>1351</v>
      </c>
      <c r="B396" s="1" t="s">
        <v>204</v>
      </c>
      <c r="C396" s="1" t="s">
        <v>1352</v>
      </c>
      <c r="D396" s="6">
        <v>1384</v>
      </c>
      <c r="E396" s="1" t="s">
        <v>156</v>
      </c>
      <c r="F396" s="2" t="str">
        <f>HYPERLINK("https://www.sciencedirect.com/journal/ssm-mental-health")</f>
        <v>https://www.sciencedirect.com/journal/ssm-mental-health</v>
      </c>
      <c r="G396" s="1" t="s">
        <v>1353</v>
      </c>
    </row>
    <row r="397" spans="1:7" ht="12.75" customHeight="1" x14ac:dyDescent="0.3">
      <c r="A397" s="1" t="s">
        <v>1354</v>
      </c>
      <c r="B397" s="1" t="s">
        <v>215</v>
      </c>
      <c r="C397" s="1" t="s">
        <v>1355</v>
      </c>
      <c r="D397" s="6">
        <v>1912</v>
      </c>
      <c r="E397" s="1" t="s">
        <v>156</v>
      </c>
      <c r="F397" s="2" t="str">
        <f>HYPERLINK("https://www.sciencedirect.com/journal/food-chemistry-molecular-sciences")</f>
        <v>https://www.sciencedirect.com/journal/food-chemistry-molecular-sciences</v>
      </c>
      <c r="G397" s="1" t="s">
        <v>1356</v>
      </c>
    </row>
    <row r="398" spans="1:7" ht="12.75" customHeight="1" x14ac:dyDescent="0.3">
      <c r="A398" s="1" t="s">
        <v>1357</v>
      </c>
      <c r="B398" s="1" t="s">
        <v>222</v>
      </c>
      <c r="C398" s="1" t="s">
        <v>1358</v>
      </c>
      <c r="D398" s="6">
        <v>848</v>
      </c>
      <c r="E398" s="1" t="s">
        <v>156</v>
      </c>
      <c r="F398" s="2" t="str">
        <f>HYPERLINK("https://www.sciencedirect.com/journal/current-problems-in-cancer-case-reports")</f>
        <v>https://www.sciencedirect.com/journal/current-problems-in-cancer-case-reports</v>
      </c>
      <c r="G398" s="1" t="s">
        <v>1359</v>
      </c>
    </row>
    <row r="399" spans="1:7" ht="12.75" customHeight="1" x14ac:dyDescent="0.3">
      <c r="A399" s="1" t="s">
        <v>1360</v>
      </c>
      <c r="B399" s="1" t="s">
        <v>309</v>
      </c>
      <c r="C399" s="1" t="s">
        <v>1361</v>
      </c>
      <c r="D399" s="6">
        <v>1968</v>
      </c>
      <c r="E399" s="1" t="s">
        <v>156</v>
      </c>
      <c r="F399" s="2" t="str">
        <f>HYPERLINK("https://www.sciencedirect.com/journal/current-research-in-ecological-and-social-psychology")</f>
        <v>https://www.sciencedirect.com/journal/current-research-in-ecological-and-social-psychology</v>
      </c>
      <c r="G399" s="1" t="s">
        <v>1362</v>
      </c>
    </row>
    <row r="400" spans="1:7" ht="12.75" customHeight="1" x14ac:dyDescent="0.3">
      <c r="A400" s="1" t="s">
        <v>1363</v>
      </c>
      <c r="B400" s="1" t="s">
        <v>322</v>
      </c>
      <c r="C400" s="1" t="s">
        <v>1364</v>
      </c>
      <c r="D400" s="6">
        <v>2272</v>
      </c>
      <c r="E400" s="1" t="s">
        <v>156</v>
      </c>
      <c r="F400" s="2" t="str">
        <f>HYPERLINK("https://www.sciencedirect.com/journal/journal-of-migration-and-health")</f>
        <v>https://www.sciencedirect.com/journal/journal-of-migration-and-health</v>
      </c>
      <c r="G400" s="1" t="s">
        <v>1365</v>
      </c>
    </row>
    <row r="401" spans="1:7" ht="12.75" customHeight="1" x14ac:dyDescent="0.3">
      <c r="A401" s="1" t="s">
        <v>1366</v>
      </c>
      <c r="B401" s="1" t="s">
        <v>222</v>
      </c>
      <c r="C401" s="1" t="s">
        <v>1367</v>
      </c>
      <c r="D401" s="6">
        <v>1024</v>
      </c>
      <c r="E401" s="1" t="s">
        <v>158</v>
      </c>
      <c r="F401" s="2" t="str">
        <f>HYPERLINK("https://www.sciencedirect.com/journal/jses-reviews-reports-and-techniques")</f>
        <v>https://www.sciencedirect.com/journal/jses-reviews-reports-and-techniques</v>
      </c>
      <c r="G401" s="1" t="s">
        <v>1368</v>
      </c>
    </row>
    <row r="402" spans="1:7" ht="12.75" customHeight="1" x14ac:dyDescent="0.3">
      <c r="A402" s="1" t="s">
        <v>1369</v>
      </c>
      <c r="B402" s="1" t="s">
        <v>218</v>
      </c>
      <c r="C402" s="1" t="s">
        <v>1370</v>
      </c>
      <c r="D402" s="6">
        <v>1168</v>
      </c>
      <c r="E402" s="1" t="s">
        <v>158</v>
      </c>
      <c r="F402" s="2" t="str">
        <f>HYPERLINK("https://www.sciencedirect.com/journal/journal-of-responsible-technology")</f>
        <v>https://www.sciencedirect.com/journal/journal-of-responsible-technology</v>
      </c>
      <c r="G402" s="1" t="s">
        <v>1371</v>
      </c>
    </row>
    <row r="403" spans="1:7" ht="12.75" customHeight="1" x14ac:dyDescent="0.3">
      <c r="A403" s="1" t="s">
        <v>1372</v>
      </c>
      <c r="B403" s="1" t="s">
        <v>162</v>
      </c>
      <c r="C403" s="1" t="s">
        <v>1373</v>
      </c>
      <c r="D403" s="6">
        <v>1272</v>
      </c>
      <c r="E403" s="1" t="s">
        <v>158</v>
      </c>
      <c r="F403" s="2" t="str">
        <f>HYPERLINK("https://www.sciencedirect.com/journal/geography-and-sustainability")</f>
        <v>https://www.sciencedirect.com/journal/geography-and-sustainability</v>
      </c>
      <c r="G403" s="1" t="s">
        <v>1374</v>
      </c>
    </row>
    <row r="404" spans="1:7" ht="12.75" customHeight="1" x14ac:dyDescent="0.3">
      <c r="A404" s="1" t="s">
        <v>1375</v>
      </c>
      <c r="B404" s="1" t="s">
        <v>205</v>
      </c>
      <c r="C404" s="1" t="s">
        <v>1376</v>
      </c>
      <c r="D404" s="6">
        <v>400</v>
      </c>
      <c r="E404" s="1" t="s">
        <v>156</v>
      </c>
      <c r="F404" s="2" t="str">
        <f>HYPERLINK("https://www.sciencedirect.com/journal/examples-and-counterexamples")</f>
        <v>https://www.sciencedirect.com/journal/examples-and-counterexamples</v>
      </c>
      <c r="G404" s="1" t="s">
        <v>1377</v>
      </c>
    </row>
    <row r="405" spans="1:7" ht="12.75" customHeight="1" x14ac:dyDescent="0.3">
      <c r="A405" s="1" t="s">
        <v>1378</v>
      </c>
      <c r="B405" s="1" t="s">
        <v>222</v>
      </c>
      <c r="C405" s="1" t="s">
        <v>1379</v>
      </c>
      <c r="D405" s="6">
        <v>1664</v>
      </c>
      <c r="E405" s="1" t="s">
        <v>156</v>
      </c>
      <c r="F405" s="2" t="str">
        <f>HYPERLINK("https://www.sciencedirect.com/journal/international-journal-of-cardiology-congenital-heart-disease")</f>
        <v>https://www.sciencedirect.com/journal/international-journal-of-cardiology-congenital-heart-disease</v>
      </c>
      <c r="G405" s="1" t="s">
        <v>1380</v>
      </c>
    </row>
    <row r="406" spans="1:7" ht="12.75" customHeight="1" x14ac:dyDescent="0.3">
      <c r="A406" s="1" t="s">
        <v>1381</v>
      </c>
      <c r="B406" s="1" t="s">
        <v>222</v>
      </c>
      <c r="C406" s="1" t="s">
        <v>1382</v>
      </c>
      <c r="D406" s="6">
        <v>1704</v>
      </c>
      <c r="E406" s="1" t="s">
        <v>156</v>
      </c>
      <c r="F406" s="2" t="str">
        <f>HYPERLINK("https://www.sciencedirect.com/journal/american-journal-of-preventive-cardiology")</f>
        <v>https://www.sciencedirect.com/journal/american-journal-of-preventive-cardiology</v>
      </c>
      <c r="G406" s="1" t="s">
        <v>1383</v>
      </c>
    </row>
    <row r="407" spans="1:7" ht="12.75" customHeight="1" x14ac:dyDescent="0.3">
      <c r="A407" s="1" t="s">
        <v>1384</v>
      </c>
      <c r="B407" s="1" t="s">
        <v>210</v>
      </c>
      <c r="C407" s="1" t="s">
        <v>1385</v>
      </c>
      <c r="D407" s="6">
        <v>2064</v>
      </c>
      <c r="E407" s="1" t="s">
        <v>156</v>
      </c>
      <c r="F407" s="2" t="str">
        <f>HYPERLINK("https://www.sciencedirect.com/journal/composites-part-c-open-access")</f>
        <v>https://www.sciencedirect.com/journal/composites-part-c-open-access</v>
      </c>
      <c r="G407" s="1" t="s">
        <v>1386</v>
      </c>
    </row>
    <row r="408" spans="1:7" ht="12.75" customHeight="1" x14ac:dyDescent="0.3">
      <c r="A408" s="1" t="s">
        <v>1387</v>
      </c>
      <c r="B408" s="1" t="s">
        <v>160</v>
      </c>
      <c r="C408" s="1" t="s">
        <v>1388</v>
      </c>
      <c r="D408" s="6">
        <v>2296</v>
      </c>
      <c r="E408" s="1" t="s">
        <v>156</v>
      </c>
      <c r="F408" s="2" t="str">
        <f>HYPERLINK("https://www.sciencedirect.com/journal/transportation-engineering")</f>
        <v>https://www.sciencedirect.com/journal/transportation-engineering</v>
      </c>
      <c r="G408" s="1" t="s">
        <v>1389</v>
      </c>
    </row>
    <row r="409" spans="1:7" ht="12.75" customHeight="1" x14ac:dyDescent="0.3">
      <c r="A409" s="1" t="s">
        <v>1390</v>
      </c>
      <c r="B409" s="1" t="s">
        <v>1391</v>
      </c>
      <c r="C409" s="1" t="s">
        <v>1392</v>
      </c>
      <c r="D409" s="6">
        <v>3935.5</v>
      </c>
      <c r="E409" s="1" t="s">
        <v>158</v>
      </c>
      <c r="F409" s="2" t="str">
        <f>HYPERLINK("https://www.sciencedirect.com/journal/the-innovation")</f>
        <v>https://www.sciencedirect.com/journal/the-innovation</v>
      </c>
      <c r="G409" s="1" t="s">
        <v>1393</v>
      </c>
    </row>
    <row r="410" spans="1:7" ht="12.75" customHeight="1" x14ac:dyDescent="0.3">
      <c r="A410" s="1" t="s">
        <v>1394</v>
      </c>
      <c r="B410" s="1" t="s">
        <v>166</v>
      </c>
      <c r="C410" s="1" t="s">
        <v>1395</v>
      </c>
      <c r="D410" s="6">
        <v>896</v>
      </c>
      <c r="E410" s="1" t="s">
        <v>158</v>
      </c>
      <c r="F410" s="2" t="str">
        <f>HYPERLINK("https://www.sciencedirect.com/journal/asian-transport-studies")</f>
        <v>https://www.sciencedirect.com/journal/asian-transport-studies</v>
      </c>
      <c r="G410" s="1" t="s">
        <v>1396</v>
      </c>
    </row>
    <row r="411" spans="1:7" ht="12.75" customHeight="1" x14ac:dyDescent="0.3">
      <c r="A411" s="1" t="s">
        <v>1397</v>
      </c>
      <c r="B411" s="1" t="s">
        <v>205</v>
      </c>
      <c r="C411" s="1" t="s">
        <v>1398</v>
      </c>
      <c r="D411" s="6">
        <v>1320</v>
      </c>
      <c r="E411" s="1" t="s">
        <v>156</v>
      </c>
      <c r="F411" s="2" t="str">
        <f>HYPERLINK("https://www.sciencedirect.com/journal/results-in-control-and-optimization")</f>
        <v>https://www.sciencedirect.com/journal/results-in-control-and-optimization</v>
      </c>
      <c r="G411" s="1" t="s">
        <v>1399</v>
      </c>
    </row>
    <row r="412" spans="1:7" ht="12.75" customHeight="1" x14ac:dyDescent="0.3">
      <c r="A412" s="1" t="s">
        <v>1400</v>
      </c>
      <c r="B412" s="1" t="s">
        <v>194</v>
      </c>
      <c r="C412" s="1" t="s">
        <v>1401</v>
      </c>
      <c r="D412" s="6">
        <v>2032</v>
      </c>
      <c r="E412" s="1" t="s">
        <v>156</v>
      </c>
      <c r="F412" s="2" t="str">
        <f>HYPERLINK("https://www.sciencedirect.com/journal/project-leadership-and-society")</f>
        <v>https://www.sciencedirect.com/journal/project-leadership-and-society</v>
      </c>
      <c r="G412" s="1" t="s">
        <v>1402</v>
      </c>
    </row>
    <row r="413" spans="1:7" ht="12.75" customHeight="1" x14ac:dyDescent="0.3">
      <c r="A413" s="1" t="s">
        <v>1403</v>
      </c>
      <c r="B413" s="1" t="s">
        <v>168</v>
      </c>
      <c r="C413" s="1" t="s">
        <v>1404</v>
      </c>
      <c r="D413" s="6">
        <v>1384</v>
      </c>
      <c r="E413" s="1" t="s">
        <v>156</v>
      </c>
      <c r="F413" s="2" t="str">
        <f>HYPERLINK("https://www.sciencedirect.com/journal/trees-forests-and-people")</f>
        <v>https://www.sciencedirect.com/journal/trees-forests-and-people</v>
      </c>
      <c r="G413" s="1" t="s">
        <v>1405</v>
      </c>
    </row>
    <row r="414" spans="1:7" ht="12.75" customHeight="1" x14ac:dyDescent="0.3">
      <c r="A414" s="1" t="s">
        <v>1406</v>
      </c>
      <c r="B414" s="1" t="s">
        <v>193</v>
      </c>
      <c r="C414" s="1" t="s">
        <v>1407</v>
      </c>
      <c r="D414" s="6">
        <v>5848</v>
      </c>
      <c r="E414" s="1" t="s">
        <v>156</v>
      </c>
      <c r="F414" s="2" t="str">
        <f>HYPERLINK("https://www.sciencedirect.com/journal/the-lancet-healthy-longevity")</f>
        <v>https://www.sciencedirect.com/journal/the-lancet-healthy-longevity</v>
      </c>
      <c r="G414" s="1" t="s">
        <v>1408</v>
      </c>
    </row>
    <row r="415" spans="1:7" ht="12.75" customHeight="1" x14ac:dyDescent="0.3">
      <c r="A415" s="1" t="s">
        <v>1409</v>
      </c>
      <c r="B415" s="1" t="s">
        <v>185</v>
      </c>
      <c r="C415" s="1" t="s">
        <v>1410</v>
      </c>
      <c r="D415" s="6">
        <v>1720</v>
      </c>
      <c r="E415" s="1" t="s">
        <v>156</v>
      </c>
      <c r="F415" s="2" t="str">
        <f>HYPERLINK("https://www.sciencedirect.com/journal/environmental-advances")</f>
        <v>https://www.sciencedirect.com/journal/environmental-advances</v>
      </c>
      <c r="G415" s="1" t="s">
        <v>1411</v>
      </c>
    </row>
    <row r="416" spans="1:7" ht="12.75" customHeight="1" x14ac:dyDescent="0.3">
      <c r="A416" s="1" t="s">
        <v>1412</v>
      </c>
      <c r="B416" s="1" t="s">
        <v>222</v>
      </c>
      <c r="C416" s="1" t="s">
        <v>1413</v>
      </c>
      <c r="D416" s="6">
        <v>4309.5</v>
      </c>
      <c r="E416" s="1" t="s">
        <v>156</v>
      </c>
      <c r="F416" s="2" t="str">
        <f>HYPERLINK("https://www.sciencedirect.com/journal/the-lancet-regional-health-europe")</f>
        <v>https://www.sciencedirect.com/journal/the-lancet-regional-health-europe</v>
      </c>
      <c r="G416" s="1" t="s">
        <v>1414</v>
      </c>
    </row>
    <row r="417" spans="1:7" ht="12.75" customHeight="1" x14ac:dyDescent="0.3">
      <c r="A417" s="1" t="s">
        <v>1415</v>
      </c>
      <c r="B417" s="1" t="s">
        <v>205</v>
      </c>
      <c r="C417" s="1" t="s">
        <v>1416</v>
      </c>
      <c r="D417" s="6">
        <v>1320</v>
      </c>
      <c r="E417" s="1" t="s">
        <v>156</v>
      </c>
      <c r="F417" s="2" t="str">
        <f>HYPERLINK("https://www.sciencedirect.com/journal/partial-differential-equations-in-applied-mathematics")</f>
        <v>https://www.sciencedirect.com/journal/partial-differential-equations-in-applied-mathematics</v>
      </c>
      <c r="G417" s="1" t="s">
        <v>1417</v>
      </c>
    </row>
    <row r="418" spans="1:7" ht="12.75" customHeight="1" x14ac:dyDescent="0.3">
      <c r="A418" s="1" t="s">
        <v>1418</v>
      </c>
      <c r="B418" s="1" t="s">
        <v>185</v>
      </c>
      <c r="C418" s="1" t="s">
        <v>1419</v>
      </c>
      <c r="D418" s="6">
        <v>1712</v>
      </c>
      <c r="E418" s="1" t="s">
        <v>156</v>
      </c>
      <c r="F418" s="2" t="str">
        <f>HYPERLINK("https://www.sciencedirect.com/journal/cleaner-environmental-systems")</f>
        <v>https://www.sciencedirect.com/journal/cleaner-environmental-systems</v>
      </c>
      <c r="G418" s="1" t="s">
        <v>1420</v>
      </c>
    </row>
    <row r="419" spans="1:7" ht="12.75" customHeight="1" x14ac:dyDescent="0.3">
      <c r="A419" s="1" t="s">
        <v>1421</v>
      </c>
      <c r="B419" s="1" t="s">
        <v>185</v>
      </c>
      <c r="C419" s="1" t="s">
        <v>1422</v>
      </c>
      <c r="D419" s="6">
        <v>1464</v>
      </c>
      <c r="E419" s="1" t="s">
        <v>156</v>
      </c>
      <c r="F419" s="2" t="str">
        <f>HYPERLINK("https://www.sciencedirect.com/journal/cleaner-and-responsible-consumption")</f>
        <v>https://www.sciencedirect.com/journal/cleaner-and-responsible-consumption</v>
      </c>
      <c r="G419" s="1" t="s">
        <v>1423</v>
      </c>
    </row>
    <row r="420" spans="1:7" ht="12.75" customHeight="1" x14ac:dyDescent="0.3">
      <c r="A420" s="1" t="s">
        <v>1424</v>
      </c>
      <c r="B420" s="1" t="s">
        <v>185</v>
      </c>
      <c r="C420" s="1" t="s">
        <v>1425</v>
      </c>
      <c r="D420" s="6">
        <v>1736</v>
      </c>
      <c r="E420" s="1" t="s">
        <v>156</v>
      </c>
      <c r="F420" s="2" t="str">
        <f>HYPERLINK("https://www.sciencedirect.com/journal/cleaner-engineering-and-technology")</f>
        <v>https://www.sciencedirect.com/journal/cleaner-engineering-and-technology</v>
      </c>
      <c r="G420" s="1" t="s">
        <v>1426</v>
      </c>
    </row>
    <row r="421" spans="1:7" ht="12.75" customHeight="1" x14ac:dyDescent="0.3">
      <c r="A421" s="1" t="s">
        <v>1427</v>
      </c>
      <c r="B421" s="1" t="s">
        <v>185</v>
      </c>
      <c r="C421" s="1" t="s">
        <v>1428</v>
      </c>
      <c r="D421" s="6">
        <v>1192</v>
      </c>
      <c r="E421" s="1" t="s">
        <v>156</v>
      </c>
      <c r="F421" s="2" t="str">
        <f>HYPERLINK("https://www.sciencedirect.com/journal/cleaner-production-letters")</f>
        <v>https://www.sciencedirect.com/journal/cleaner-production-letters</v>
      </c>
      <c r="G421" s="1" t="s">
        <v>1429</v>
      </c>
    </row>
    <row r="422" spans="1:7" ht="12.75" customHeight="1" x14ac:dyDescent="0.3">
      <c r="A422" s="1" t="s">
        <v>1430</v>
      </c>
      <c r="B422" s="1" t="s">
        <v>1431</v>
      </c>
      <c r="C422" s="1" t="s">
        <v>1432</v>
      </c>
      <c r="D422" s="6">
        <v>3592</v>
      </c>
      <c r="E422" s="1" t="s">
        <v>156</v>
      </c>
      <c r="F422" s="2" t="str">
        <f>HYPERLINK("https://www.sciencedirect.com/journal/advances-in-applied-energy")</f>
        <v>https://www.sciencedirect.com/journal/advances-in-applied-energy</v>
      </c>
      <c r="G422" s="1" t="s">
        <v>1433</v>
      </c>
    </row>
    <row r="423" spans="1:7" ht="12.75" customHeight="1" x14ac:dyDescent="0.3">
      <c r="A423" s="1" t="s">
        <v>1434</v>
      </c>
      <c r="B423" s="1" t="s">
        <v>193</v>
      </c>
      <c r="C423" s="1" t="s">
        <v>1435</v>
      </c>
      <c r="D423" s="6">
        <v>656</v>
      </c>
      <c r="E423" s="1" t="s">
        <v>158</v>
      </c>
      <c r="F423" s="2" t="str">
        <f>HYPERLINK("https://www.sciencedirect.com/journal/aace-endocrinology-and-diabetes")</f>
        <v>https://www.sciencedirect.com/journal/aace-endocrinology-and-diabetes</v>
      </c>
      <c r="G423" s="1" t="s">
        <v>1436</v>
      </c>
    </row>
    <row r="424" spans="1:7" ht="12.75" customHeight="1" x14ac:dyDescent="0.3">
      <c r="A424" s="1" t="s">
        <v>1437</v>
      </c>
      <c r="B424" s="1" t="s">
        <v>1438</v>
      </c>
      <c r="C424" s="1" t="s">
        <v>1439</v>
      </c>
      <c r="D424" s="6">
        <v>1840</v>
      </c>
      <c r="E424" s="1" t="s">
        <v>156</v>
      </c>
      <c r="F424" s="2" t="str">
        <f>HYPERLINK("https://www.sciencedirect.com/journal/machine-learning-with-applications")</f>
        <v>https://www.sciencedirect.com/journal/machine-learning-with-applications</v>
      </c>
      <c r="G424" s="1" t="s">
        <v>1440</v>
      </c>
    </row>
    <row r="425" spans="1:7" ht="12.75" customHeight="1" x14ac:dyDescent="0.3">
      <c r="A425" s="1" t="s">
        <v>1441</v>
      </c>
      <c r="B425" s="1" t="s">
        <v>168</v>
      </c>
      <c r="C425" s="1" t="s">
        <v>1442</v>
      </c>
      <c r="D425" s="6">
        <v>1792</v>
      </c>
      <c r="E425" s="1" t="s">
        <v>156</v>
      </c>
      <c r="F425" s="2" t="str">
        <f>HYPERLINK("https://www.sciencedirect.com/journal/future-foods")</f>
        <v>https://www.sciencedirect.com/journal/future-foods</v>
      </c>
      <c r="G425" s="1" t="s">
        <v>1443</v>
      </c>
    </row>
    <row r="426" spans="1:7" ht="12.75" customHeight="1" x14ac:dyDescent="0.3">
      <c r="A426" s="1" t="s">
        <v>1444</v>
      </c>
      <c r="B426" s="1" t="s">
        <v>1445</v>
      </c>
      <c r="C426" s="1" t="s">
        <v>1446</v>
      </c>
      <c r="D426" s="6">
        <v>1640</v>
      </c>
      <c r="E426" s="1" t="s">
        <v>156</v>
      </c>
      <c r="F426" s="2" t="str">
        <f>HYPERLINK("https://www.sciencedirect.com/journal/chemical-engineering-journal-advances")</f>
        <v>https://www.sciencedirect.com/journal/chemical-engineering-journal-advances</v>
      </c>
      <c r="G426" s="1" t="s">
        <v>1447</v>
      </c>
    </row>
    <row r="427" spans="1:7" ht="12.75" customHeight="1" x14ac:dyDescent="0.3">
      <c r="A427" s="1" t="s">
        <v>1448</v>
      </c>
      <c r="B427" s="1" t="s">
        <v>166</v>
      </c>
      <c r="C427" s="1" t="s">
        <v>1449</v>
      </c>
      <c r="D427" s="6">
        <v>1736</v>
      </c>
      <c r="E427" s="1" t="s">
        <v>156</v>
      </c>
      <c r="F427" s="2" t="str">
        <f>HYPERLINK("https://www.sciencedirect.com/journal/maritime-transport-research")</f>
        <v>https://www.sciencedirect.com/journal/maritime-transport-research</v>
      </c>
      <c r="G427" s="1" t="s">
        <v>1450</v>
      </c>
    </row>
    <row r="428" spans="1:7" ht="12.75" customHeight="1" x14ac:dyDescent="0.3">
      <c r="A428" s="1" t="s">
        <v>1451</v>
      </c>
      <c r="B428" s="1" t="s">
        <v>164</v>
      </c>
      <c r="C428" s="1" t="s">
        <v>1452</v>
      </c>
      <c r="D428" s="6">
        <v>1696</v>
      </c>
      <c r="E428" s="1" t="s">
        <v>156</v>
      </c>
      <c r="F428" s="2" t="str">
        <f>HYPERLINK("https://www.sciencedirect.com/journal/talanta-open")</f>
        <v>https://www.sciencedirect.com/journal/talanta-open</v>
      </c>
      <c r="G428" s="1" t="s">
        <v>1453</v>
      </c>
    </row>
    <row r="429" spans="1:7" ht="12.75" customHeight="1" x14ac:dyDescent="0.3">
      <c r="A429" s="1" t="s">
        <v>1454</v>
      </c>
      <c r="B429" s="1" t="s">
        <v>198</v>
      </c>
      <c r="C429" s="1" t="s">
        <v>1455</v>
      </c>
      <c r="D429" s="6">
        <v>1112</v>
      </c>
      <c r="E429" s="1" t="s">
        <v>156</v>
      </c>
      <c r="F429" s="2" t="str">
        <f>HYPERLINK("https://www.sciencedirect.com/journal/results-in-surfaces-and-interfaces")</f>
        <v>https://www.sciencedirect.com/journal/results-in-surfaces-and-interfaces</v>
      </c>
      <c r="G429" s="1" t="s">
        <v>1456</v>
      </c>
    </row>
    <row r="430" spans="1:7" ht="12.75" customHeight="1" x14ac:dyDescent="0.3">
      <c r="A430" s="1" t="s">
        <v>1457</v>
      </c>
      <c r="B430" s="1" t="s">
        <v>195</v>
      </c>
      <c r="C430" s="1" t="s">
        <v>1458</v>
      </c>
      <c r="D430" s="6">
        <v>2240</v>
      </c>
      <c r="E430" s="1" t="s">
        <v>156</v>
      </c>
      <c r="F430" s="2" t="str">
        <f>HYPERLINK("https://www.sciencedirect.com/journal/carbohydrate-polymer-technologies-and-applications")</f>
        <v>https://www.sciencedirect.com/journal/carbohydrate-polymer-technologies-and-applications</v>
      </c>
      <c r="G430" s="1" t="s">
        <v>1459</v>
      </c>
    </row>
    <row r="431" spans="1:7" ht="12.75" customHeight="1" x14ac:dyDescent="0.3">
      <c r="A431" s="1" t="s">
        <v>1460</v>
      </c>
      <c r="B431" s="1" t="s">
        <v>185</v>
      </c>
      <c r="C431" s="1" t="s">
        <v>1461</v>
      </c>
      <c r="D431" s="6">
        <v>1528</v>
      </c>
      <c r="E431" s="1" t="s">
        <v>156</v>
      </c>
      <c r="F431" s="2" t="str">
        <f>HYPERLINK("https://www.sciencedirect.com/journal/climate-change-ecology")</f>
        <v>https://www.sciencedirect.com/journal/climate-change-ecology</v>
      </c>
      <c r="G431" s="1" t="s">
        <v>1462</v>
      </c>
    </row>
    <row r="432" spans="1:7" ht="12.75" customHeight="1" x14ac:dyDescent="0.3">
      <c r="A432" s="1" t="s">
        <v>1463</v>
      </c>
      <c r="B432" s="1" t="s">
        <v>398</v>
      </c>
      <c r="C432" s="1" t="s">
        <v>1464</v>
      </c>
      <c r="D432" s="6">
        <v>1488</v>
      </c>
      <c r="E432" s="1" t="s">
        <v>156</v>
      </c>
      <c r="F432" s="2" t="str">
        <f>HYPERLINK("https://www.sciencedirect.com/journal/jcis-open")</f>
        <v>https://www.sciencedirect.com/journal/jcis-open</v>
      </c>
      <c r="G432" s="1" t="s">
        <v>1465</v>
      </c>
    </row>
    <row r="433" spans="1:7" ht="12.75" customHeight="1" x14ac:dyDescent="0.3">
      <c r="A433" s="1" t="s">
        <v>1466</v>
      </c>
      <c r="B433" s="1" t="s">
        <v>222</v>
      </c>
      <c r="C433" s="1" t="s">
        <v>1467</v>
      </c>
      <c r="D433" s="6">
        <v>1872</v>
      </c>
      <c r="E433" s="1" t="s">
        <v>158</v>
      </c>
      <c r="F433" s="2" t="str">
        <f>HYPERLINK("https://www.sciencedirect.com/journal/ophthalmology-science")</f>
        <v>https://www.sciencedirect.com/journal/ophthalmology-science</v>
      </c>
      <c r="G433" s="1" t="s">
        <v>1468</v>
      </c>
    </row>
    <row r="434" spans="1:7" ht="12.75" customHeight="1" x14ac:dyDescent="0.3">
      <c r="A434" s="1" t="s">
        <v>1469</v>
      </c>
      <c r="B434" s="1" t="s">
        <v>222</v>
      </c>
      <c r="C434" s="1" t="s">
        <v>1470</v>
      </c>
      <c r="D434" s="6">
        <v>2928</v>
      </c>
      <c r="E434" s="1" t="s">
        <v>386</v>
      </c>
      <c r="F434" s="2" t="str">
        <f>HYPERLINK("https://www.sciencedirect.com/journal/esmo-open")</f>
        <v>https://www.sciencedirect.com/journal/esmo-open</v>
      </c>
      <c r="G434" s="1" t="s">
        <v>1471</v>
      </c>
    </row>
    <row r="435" spans="1:7" ht="12.75" customHeight="1" x14ac:dyDescent="0.3">
      <c r="A435" s="1" t="s">
        <v>1472</v>
      </c>
      <c r="B435" s="1" t="s">
        <v>185</v>
      </c>
      <c r="C435" s="1" t="s">
        <v>1473</v>
      </c>
      <c r="D435" s="6">
        <v>1496</v>
      </c>
      <c r="E435" s="1" t="s">
        <v>158</v>
      </c>
      <c r="F435" s="2" t="str">
        <f>HYPERLINK("https://www.sciencedirect.com/journal/resources-environment-and-sustainability")</f>
        <v>https://www.sciencedirect.com/journal/resources-environment-and-sustainability</v>
      </c>
      <c r="G435" s="1" t="s">
        <v>1474</v>
      </c>
    </row>
    <row r="436" spans="1:7" ht="12.75" customHeight="1" x14ac:dyDescent="0.3">
      <c r="A436" s="1" t="s">
        <v>1475</v>
      </c>
      <c r="B436" s="1" t="s">
        <v>1476</v>
      </c>
      <c r="C436" s="1" t="s">
        <v>1477</v>
      </c>
      <c r="D436" s="6">
        <v>1872</v>
      </c>
      <c r="E436" s="1" t="s">
        <v>156</v>
      </c>
      <c r="F436" s="2" t="str">
        <f>HYPERLINK("https://www.sciencedirect.com/journal/journal-of-hazardous-materials-letters")</f>
        <v>https://www.sciencedirect.com/journal/journal-of-hazardous-materials-letters</v>
      </c>
      <c r="G436" s="1" t="s">
        <v>1478</v>
      </c>
    </row>
    <row r="437" spans="1:7" ht="12.75" customHeight="1" x14ac:dyDescent="0.3">
      <c r="A437" s="1" t="s">
        <v>1479</v>
      </c>
      <c r="B437" s="1" t="s">
        <v>160</v>
      </c>
      <c r="C437" s="1" t="s">
        <v>1480</v>
      </c>
      <c r="D437" s="6">
        <v>1912</v>
      </c>
      <c r="E437" s="1" t="s">
        <v>156</v>
      </c>
      <c r="F437" s="2" t="str">
        <f>HYPERLINK("https://www.sciencedirect.com/journal/advances-in-industrial-and-manufacturing-engineering")</f>
        <v>https://www.sciencedirect.com/journal/advances-in-industrial-and-manufacturing-engineering</v>
      </c>
      <c r="G437" s="1" t="s">
        <v>1481</v>
      </c>
    </row>
    <row r="438" spans="1:7" ht="12.75" customHeight="1" x14ac:dyDescent="0.3">
      <c r="A438" s="1" t="s">
        <v>1482</v>
      </c>
      <c r="B438" s="1" t="s">
        <v>222</v>
      </c>
      <c r="C438" s="1" t="s">
        <v>1483</v>
      </c>
      <c r="D438" s="6">
        <v>2168</v>
      </c>
      <c r="E438" s="1" t="s">
        <v>156</v>
      </c>
      <c r="F438" s="2" t="str">
        <f>HYPERLINK("https://www.sciencedirect.com/journal/journal-of-affective-disorders-reports")</f>
        <v>https://www.sciencedirect.com/journal/journal-of-affective-disorders-reports</v>
      </c>
      <c r="G438" s="1" t="s">
        <v>1484</v>
      </c>
    </row>
    <row r="439" spans="1:7" ht="12.75" customHeight="1" x14ac:dyDescent="0.3">
      <c r="A439" s="1" t="s">
        <v>1485</v>
      </c>
      <c r="B439" s="1" t="s">
        <v>166</v>
      </c>
      <c r="C439" s="1" t="s">
        <v>1486</v>
      </c>
      <c r="D439" s="6">
        <v>2152</v>
      </c>
      <c r="E439" s="1" t="s">
        <v>156</v>
      </c>
      <c r="F439" s="2" t="str">
        <f>HYPERLINK("https://www.sciencedirect.com/journal/computers-and-education-artificial-intelligence")</f>
        <v>https://www.sciencedirect.com/journal/computers-and-education-artificial-intelligence</v>
      </c>
      <c r="G439" s="1" t="s">
        <v>1487</v>
      </c>
    </row>
    <row r="440" spans="1:7" ht="12.75" customHeight="1" x14ac:dyDescent="0.3">
      <c r="A440" s="1" t="s">
        <v>1488</v>
      </c>
      <c r="B440" s="1" t="s">
        <v>157</v>
      </c>
      <c r="C440" s="1" t="s">
        <v>1489</v>
      </c>
      <c r="D440" s="6">
        <v>1528</v>
      </c>
      <c r="E440" s="1" t="s">
        <v>156</v>
      </c>
      <c r="F440" s="2" t="str">
        <f>HYPERLINK("https://www.sciencedirect.com/journal/digital-business")</f>
        <v>https://www.sciencedirect.com/journal/digital-business</v>
      </c>
      <c r="G440" s="1" t="s">
        <v>1490</v>
      </c>
    </row>
    <row r="441" spans="1:7" ht="12.75" customHeight="1" x14ac:dyDescent="0.3">
      <c r="A441" s="1" t="s">
        <v>1491</v>
      </c>
      <c r="B441" s="1" t="s">
        <v>247</v>
      </c>
      <c r="C441" s="1" t="s">
        <v>1492</v>
      </c>
      <c r="D441" s="6">
        <v>2208</v>
      </c>
      <c r="E441" s="1" t="s">
        <v>156</v>
      </c>
      <c r="F441" s="2" t="str">
        <f>HYPERLINK("https://www.sciencedirect.com/journal/journal-of-virus-eradication")</f>
        <v>https://www.sciencedirect.com/journal/journal-of-virus-eradication</v>
      </c>
      <c r="G441" s="1" t="s">
        <v>1493</v>
      </c>
    </row>
    <row r="442" spans="1:7" ht="12.75" customHeight="1" x14ac:dyDescent="0.3">
      <c r="A442" s="1" t="s">
        <v>1494</v>
      </c>
      <c r="B442" s="1" t="s">
        <v>164</v>
      </c>
      <c r="C442" s="1" t="s">
        <v>1495</v>
      </c>
      <c r="D442" s="6">
        <v>1992</v>
      </c>
      <c r="E442" s="1" t="s">
        <v>156</v>
      </c>
      <c r="F442" s="2" t="str">
        <f>HYPERLINK("https://www.sciencedirect.com/journal/tetrahedron-chem")</f>
        <v>https://www.sciencedirect.com/journal/tetrahedron-chem</v>
      </c>
      <c r="G442" s="1" t="s">
        <v>1496</v>
      </c>
    </row>
    <row r="443" spans="1:7" ht="12.75" customHeight="1" x14ac:dyDescent="0.3">
      <c r="A443" s="1" t="s">
        <v>1497</v>
      </c>
      <c r="B443" s="1" t="s">
        <v>198</v>
      </c>
      <c r="C443" s="1" t="s">
        <v>1498</v>
      </c>
      <c r="D443" s="6">
        <v>1320</v>
      </c>
      <c r="E443" s="1" t="s">
        <v>156</v>
      </c>
      <c r="F443" s="2" t="str">
        <f>HYPERLINK("https://www.sciencedirect.com/journal/results-in-optics")</f>
        <v>https://www.sciencedirect.com/journal/results-in-optics</v>
      </c>
      <c r="G443" s="1" t="s">
        <v>1499</v>
      </c>
    </row>
    <row r="444" spans="1:7" ht="12.75" customHeight="1" x14ac:dyDescent="0.3">
      <c r="A444" s="1" t="s">
        <v>1500</v>
      </c>
      <c r="B444" s="1" t="s">
        <v>187</v>
      </c>
      <c r="C444" s="1" t="s">
        <v>1501</v>
      </c>
      <c r="D444" s="6">
        <v>1616</v>
      </c>
      <c r="E444" s="1" t="s">
        <v>156</v>
      </c>
      <c r="F444" s="2" t="str">
        <f>HYPERLINK("https://www.sciencedirect.com/journal/neuroimage-reports")</f>
        <v>https://www.sciencedirect.com/journal/neuroimage-reports</v>
      </c>
      <c r="G444" s="1" t="s">
        <v>1502</v>
      </c>
    </row>
    <row r="445" spans="1:7" ht="12.75" customHeight="1" x14ac:dyDescent="0.3">
      <c r="A445" s="1" t="s">
        <v>1503</v>
      </c>
      <c r="B445" s="1" t="s">
        <v>1504</v>
      </c>
      <c r="C445" s="1" t="s">
        <v>1505</v>
      </c>
      <c r="D445" s="6">
        <v>2472</v>
      </c>
      <c r="E445" s="1" t="s">
        <v>156</v>
      </c>
      <c r="F445" s="2" t="str">
        <f>HYPERLINK("https://www.sciencedirect.com/journal/smart-energy")</f>
        <v>https://www.sciencedirect.com/journal/smart-energy</v>
      </c>
      <c r="G445" s="1" t="s">
        <v>1506</v>
      </c>
    </row>
    <row r="446" spans="1:7" ht="12.75" customHeight="1" x14ac:dyDescent="0.3">
      <c r="A446" s="1" t="s">
        <v>1507</v>
      </c>
      <c r="B446" s="1" t="s">
        <v>222</v>
      </c>
      <c r="C446" s="1" t="s">
        <v>1508</v>
      </c>
      <c r="D446" s="6">
        <v>1584</v>
      </c>
      <c r="E446" s="1" t="s">
        <v>156</v>
      </c>
      <c r="F446" s="2" t="str">
        <f>HYPERLINK("https://www.sciencedirect.com/journal/global-pediatrics")</f>
        <v>https://www.sciencedirect.com/journal/global-pediatrics</v>
      </c>
      <c r="G446" s="1" t="s">
        <v>1509</v>
      </c>
    </row>
    <row r="447" spans="1:7" ht="12.75" customHeight="1" x14ac:dyDescent="0.3">
      <c r="A447" s="1" t="s">
        <v>1510</v>
      </c>
      <c r="B447" s="1" t="s">
        <v>157</v>
      </c>
      <c r="C447" s="1" t="s">
        <v>1511</v>
      </c>
      <c r="D447" s="6">
        <v>1448</v>
      </c>
      <c r="E447" s="1" t="s">
        <v>156</v>
      </c>
      <c r="F447" s="2" t="str">
        <f>HYPERLINK("https://www.sciencedirect.com/journal/annals-of-tourism-research-empirical-insights")</f>
        <v>https://www.sciencedirect.com/journal/annals-of-tourism-research-empirical-insights</v>
      </c>
      <c r="G447" s="1" t="s">
        <v>1512</v>
      </c>
    </row>
    <row r="448" spans="1:7" ht="12.75" customHeight="1" x14ac:dyDescent="0.3">
      <c r="A448" s="1" t="s">
        <v>1513</v>
      </c>
      <c r="B448" s="1" t="s">
        <v>184</v>
      </c>
      <c r="C448" s="1" t="s">
        <v>1514</v>
      </c>
      <c r="D448" s="6">
        <v>1896</v>
      </c>
      <c r="E448" s="1" t="s">
        <v>156</v>
      </c>
      <c r="F448" s="2" t="str">
        <f>HYPERLINK("https://www.sciencedirect.com/journal/annals-of-3d-printed-medicine")</f>
        <v>https://www.sciencedirect.com/journal/annals-of-3d-printed-medicine</v>
      </c>
      <c r="G448" s="1" t="s">
        <v>1515</v>
      </c>
    </row>
    <row r="449" spans="1:7" ht="12.75" customHeight="1" x14ac:dyDescent="0.3">
      <c r="A449" s="1" t="s">
        <v>1516</v>
      </c>
      <c r="B449" s="1" t="s">
        <v>408</v>
      </c>
      <c r="C449" s="1" t="s">
        <v>1517</v>
      </c>
      <c r="D449" s="6">
        <v>1864</v>
      </c>
      <c r="E449" s="1" t="s">
        <v>156</v>
      </c>
      <c r="F449" s="2" t="str">
        <f>HYPERLINK("https://www.sciencedirect.com/journal/diabetes-epidemiology-and-management")</f>
        <v>https://www.sciencedirect.com/journal/diabetes-epidemiology-and-management</v>
      </c>
      <c r="G449" s="1" t="s">
        <v>1518</v>
      </c>
    </row>
    <row r="450" spans="1:7" ht="12.75" customHeight="1" x14ac:dyDescent="0.3">
      <c r="A450" s="1" t="s">
        <v>1519</v>
      </c>
      <c r="B450" s="1" t="s">
        <v>222</v>
      </c>
      <c r="C450" s="1" t="s">
        <v>1520</v>
      </c>
      <c r="D450" s="6">
        <v>1568</v>
      </c>
      <c r="E450" s="1" t="s">
        <v>156</v>
      </c>
      <c r="F450" s="2" t="str">
        <f>HYPERLINK("https://www.sciencedirect.com/journal/journal-of-liver-transplantation")</f>
        <v>https://www.sciencedirect.com/journal/journal-of-liver-transplantation</v>
      </c>
      <c r="G450" s="1" t="s">
        <v>1521</v>
      </c>
    </row>
    <row r="451" spans="1:7" ht="12.75" customHeight="1" x14ac:dyDescent="0.3">
      <c r="A451" s="1" t="s">
        <v>1522</v>
      </c>
      <c r="B451" s="1" t="s">
        <v>168</v>
      </c>
      <c r="C451" s="1" t="s">
        <v>1523</v>
      </c>
      <c r="D451" s="6">
        <v>1456</v>
      </c>
      <c r="E451" s="1" t="s">
        <v>158</v>
      </c>
      <c r="F451" s="2" t="str">
        <f>HYPERLINK("https://www.sciencedirect.com/journal/animal")</f>
        <v>https://www.sciencedirect.com/journal/animal</v>
      </c>
      <c r="G451" s="1" t="s">
        <v>1524</v>
      </c>
    </row>
    <row r="452" spans="1:7" ht="12.75" customHeight="1" x14ac:dyDescent="0.3">
      <c r="A452" s="1" t="s">
        <v>1525</v>
      </c>
      <c r="B452" s="1" t="s">
        <v>210</v>
      </c>
      <c r="C452" s="1" t="s">
        <v>1526</v>
      </c>
      <c r="D452" s="6">
        <v>1496</v>
      </c>
      <c r="E452" s="1" t="s">
        <v>156</v>
      </c>
      <c r="F452" s="2" t="str">
        <f>HYPERLINK("https://www.sciencedirect.com/journal/nano-trends")</f>
        <v>https://www.sciencedirect.com/journal/nano-trends</v>
      </c>
      <c r="G452" s="1" t="s">
        <v>1527</v>
      </c>
    </row>
    <row r="453" spans="1:7" ht="12.75" customHeight="1" x14ac:dyDescent="0.3">
      <c r="A453" s="1" t="s">
        <v>1528</v>
      </c>
      <c r="B453" s="1" t="s">
        <v>1529</v>
      </c>
      <c r="C453" s="1" t="s">
        <v>1530</v>
      </c>
      <c r="D453" s="6">
        <v>7012.5</v>
      </c>
      <c r="E453" s="1" t="s">
        <v>156</v>
      </c>
      <c r="F453" s="2" t="str">
        <f>HYPERLINK("https://www.sciencedirect.com/journal/cell-genomics")</f>
        <v>https://www.sciencedirect.com/journal/cell-genomics</v>
      </c>
      <c r="G453" s="1" t="s">
        <v>1531</v>
      </c>
    </row>
    <row r="454" spans="1:7" ht="12.75" customHeight="1" x14ac:dyDescent="0.3">
      <c r="A454" s="1" t="s">
        <v>1532</v>
      </c>
      <c r="B454" s="1" t="s">
        <v>222</v>
      </c>
      <c r="C454" s="1" t="s">
        <v>1533</v>
      </c>
      <c r="D454" s="6">
        <v>1752</v>
      </c>
      <c r="E454" s="1" t="s">
        <v>156</v>
      </c>
      <c r="F454" s="2" t="str">
        <f>HYPERLINK("https://www.sciencedirect.com/journal/computer-methods-and-programs-in-biomedicine-update")</f>
        <v>https://www.sciencedirect.com/journal/computer-methods-and-programs-in-biomedicine-update</v>
      </c>
      <c r="G454" s="1" t="s">
        <v>1534</v>
      </c>
    </row>
    <row r="455" spans="1:7" ht="12.75" customHeight="1" x14ac:dyDescent="0.3">
      <c r="A455" s="1" t="s">
        <v>1535</v>
      </c>
      <c r="B455" s="1" t="s">
        <v>624</v>
      </c>
      <c r="C455" s="1" t="s">
        <v>1536</v>
      </c>
      <c r="D455" s="6">
        <v>1048</v>
      </c>
      <c r="E455" s="1" t="s">
        <v>158</v>
      </c>
      <c r="F455" s="2" t="str">
        <f>HYPERLINK("https://www.sciencedirect.com/journal/euro-journal-on-computational-optimization")</f>
        <v>https://www.sciencedirect.com/journal/euro-journal-on-computational-optimization</v>
      </c>
      <c r="G455" s="1" t="s">
        <v>1537</v>
      </c>
    </row>
    <row r="456" spans="1:7" ht="12.75" customHeight="1" x14ac:dyDescent="0.3">
      <c r="A456" s="1" t="s">
        <v>1538</v>
      </c>
      <c r="B456" s="1" t="s">
        <v>1174</v>
      </c>
      <c r="C456" s="1" t="s">
        <v>1539</v>
      </c>
      <c r="D456" s="6">
        <v>1048</v>
      </c>
      <c r="E456" s="1" t="s">
        <v>158</v>
      </c>
      <c r="F456" s="2" t="str">
        <f>HYPERLINK("https://www.sciencedirect.com/journal/euro-journal-on-decision-processes")</f>
        <v>https://www.sciencedirect.com/journal/euro-journal-on-decision-processes</v>
      </c>
      <c r="G456" s="1" t="s">
        <v>1540</v>
      </c>
    </row>
    <row r="457" spans="1:7" ht="12.75" customHeight="1" x14ac:dyDescent="0.3">
      <c r="A457" s="1" t="s">
        <v>1541</v>
      </c>
      <c r="B457" s="1" t="s">
        <v>222</v>
      </c>
      <c r="C457" s="1" t="s">
        <v>1542</v>
      </c>
      <c r="D457" s="6">
        <v>1584</v>
      </c>
      <c r="E457" s="1" t="s">
        <v>156</v>
      </c>
      <c r="F457" s="2" t="str">
        <f>HYPERLINK("https://www.sciencedirect.com/journal/surgery-open-digestive-advance")</f>
        <v>https://www.sciencedirect.com/journal/surgery-open-digestive-advance</v>
      </c>
      <c r="G457" s="1" t="s">
        <v>1543</v>
      </c>
    </row>
    <row r="458" spans="1:7" ht="12.75" customHeight="1" x14ac:dyDescent="0.3">
      <c r="A458" s="1" t="s">
        <v>1544</v>
      </c>
      <c r="B458" s="1" t="s">
        <v>185</v>
      </c>
      <c r="C458" s="1" t="s">
        <v>1545</v>
      </c>
      <c r="D458" s="6">
        <v>1840</v>
      </c>
      <c r="E458" s="1" t="s">
        <v>156</v>
      </c>
      <c r="F458" s="2" t="str">
        <f>HYPERLINK("https://www.sciencedirect.com/journal/environmental-challenges")</f>
        <v>https://www.sciencedirect.com/journal/environmental-challenges</v>
      </c>
      <c r="G458" s="1" t="s">
        <v>1546</v>
      </c>
    </row>
    <row r="459" spans="1:7" ht="12.75" customHeight="1" x14ac:dyDescent="0.3">
      <c r="A459" s="1" t="s">
        <v>1547</v>
      </c>
      <c r="B459" s="1" t="s">
        <v>222</v>
      </c>
      <c r="C459" s="1" t="s">
        <v>1548</v>
      </c>
      <c r="D459" s="6">
        <v>2024</v>
      </c>
      <c r="E459" s="1" t="s">
        <v>158</v>
      </c>
      <c r="F459" s="2" t="str">
        <f>HYPERLINK("https://www.sciencedirect.com/journal/journal-of-the-national-cancer-center")</f>
        <v>https://www.sciencedirect.com/journal/journal-of-the-national-cancer-center</v>
      </c>
      <c r="G459" s="1" t="s">
        <v>1549</v>
      </c>
    </row>
    <row r="460" spans="1:7" ht="12.75" customHeight="1" x14ac:dyDescent="0.3">
      <c r="A460" s="1" t="s">
        <v>1550</v>
      </c>
      <c r="B460" s="1" t="s">
        <v>400</v>
      </c>
      <c r="C460" s="1" t="s">
        <v>1551</v>
      </c>
      <c r="D460" s="6">
        <v>1416</v>
      </c>
      <c r="E460" s="1" t="s">
        <v>156</v>
      </c>
      <c r="F460" s="2" t="str">
        <f>HYPERLINK("https://www.sciencedirect.com/journal/comparative-immunology-reports")</f>
        <v>https://www.sciencedirect.com/journal/comparative-immunology-reports</v>
      </c>
      <c r="G460" s="1" t="s">
        <v>1552</v>
      </c>
    </row>
    <row r="461" spans="1:7" ht="12.75" customHeight="1" x14ac:dyDescent="0.3">
      <c r="A461" s="1" t="s">
        <v>1553</v>
      </c>
      <c r="B461" s="1" t="s">
        <v>168</v>
      </c>
      <c r="C461" s="1" t="s">
        <v>1554</v>
      </c>
      <c r="D461" s="6">
        <v>1144</v>
      </c>
      <c r="E461" s="1" t="s">
        <v>156</v>
      </c>
      <c r="F461" s="2" t="str">
        <f>HYPERLINK("https://www.sciencedirect.com/journal/soil-security")</f>
        <v>https://www.sciencedirect.com/journal/soil-security</v>
      </c>
      <c r="G461" s="1" t="s">
        <v>1555</v>
      </c>
    </row>
    <row r="462" spans="1:7" ht="12.75" customHeight="1" x14ac:dyDescent="0.3">
      <c r="A462" s="1" t="s">
        <v>1556</v>
      </c>
      <c r="B462" s="1" t="s">
        <v>198</v>
      </c>
      <c r="C462" s="1" t="s">
        <v>1557</v>
      </c>
      <c r="D462" s="6">
        <v>1224</v>
      </c>
      <c r="E462" s="1" t="s">
        <v>156</v>
      </c>
      <c r="F462" s="2" t="str">
        <f>HYPERLINK("https://www.sciencedirect.com/journal/chemical-physics-impact")</f>
        <v>https://www.sciencedirect.com/journal/chemical-physics-impact</v>
      </c>
      <c r="G462" s="1" t="s">
        <v>1558</v>
      </c>
    </row>
    <row r="463" spans="1:7" ht="12.75" customHeight="1" x14ac:dyDescent="0.3">
      <c r="A463" s="1" t="s">
        <v>1559</v>
      </c>
      <c r="B463" s="1" t="s">
        <v>1560</v>
      </c>
      <c r="C463" s="1" t="s">
        <v>1561</v>
      </c>
      <c r="D463" s="6">
        <v>1976</v>
      </c>
      <c r="E463" s="1" t="s">
        <v>156</v>
      </c>
      <c r="F463" s="2" t="str">
        <f>HYPERLINK("https://www.sciencedirect.com/journal/journal-of-clinical-virology-plus")</f>
        <v>https://www.sciencedirect.com/journal/journal-of-clinical-virology-plus</v>
      </c>
      <c r="G463" s="1" t="s">
        <v>1562</v>
      </c>
    </row>
    <row r="464" spans="1:7" ht="12.75" customHeight="1" x14ac:dyDescent="0.3">
      <c r="A464" s="1" t="s">
        <v>1563</v>
      </c>
      <c r="B464" s="1" t="s">
        <v>222</v>
      </c>
      <c r="C464" s="1" t="s">
        <v>1564</v>
      </c>
      <c r="D464" s="6">
        <v>1496</v>
      </c>
      <c r="E464" s="1" t="s">
        <v>158</v>
      </c>
      <c r="F464" s="2" t="str">
        <f>HYPERLINK("https://www.sciencedirect.com/journal/jid-innovations")</f>
        <v>https://www.sciencedirect.com/journal/jid-innovations</v>
      </c>
      <c r="G464" s="1" t="s">
        <v>1565</v>
      </c>
    </row>
    <row r="465" spans="1:7" ht="12.75" customHeight="1" x14ac:dyDescent="0.3">
      <c r="A465" s="1" t="s">
        <v>1566</v>
      </c>
      <c r="B465" s="1" t="s">
        <v>168</v>
      </c>
      <c r="C465" s="1" t="s">
        <v>1567</v>
      </c>
      <c r="D465" s="6">
        <v>1984</v>
      </c>
      <c r="E465" s="1" t="s">
        <v>156</v>
      </c>
      <c r="F465" s="2" t="str">
        <f>HYPERLINK("https://www.sciencedirect.com/journal/food-hydrocolloids-for-health")</f>
        <v>https://www.sciencedirect.com/journal/food-hydrocolloids-for-health</v>
      </c>
      <c r="G465" s="1" t="s">
        <v>1568</v>
      </c>
    </row>
    <row r="466" spans="1:7" ht="12.75" customHeight="1" x14ac:dyDescent="0.3">
      <c r="A466" s="1" t="s">
        <v>1569</v>
      </c>
      <c r="B466" s="1" t="s">
        <v>238</v>
      </c>
      <c r="C466" s="1" t="s">
        <v>1570</v>
      </c>
      <c r="D466" s="6">
        <v>1432</v>
      </c>
      <c r="E466" s="1" t="s">
        <v>156</v>
      </c>
      <c r="F466" s="2" t="str">
        <f>HYPERLINK("https://www.sciencedirect.com/journal/phytomedicine-plus")</f>
        <v>https://www.sciencedirect.com/journal/phytomedicine-plus</v>
      </c>
      <c r="G466" s="1" t="s">
        <v>1571</v>
      </c>
    </row>
    <row r="467" spans="1:7" ht="12.75" customHeight="1" x14ac:dyDescent="0.3">
      <c r="A467" s="1" t="s">
        <v>1572</v>
      </c>
      <c r="B467" s="1" t="s">
        <v>319</v>
      </c>
      <c r="C467" s="1" t="s">
        <v>1573</v>
      </c>
      <c r="D467" s="6">
        <v>1872</v>
      </c>
      <c r="E467" s="1" t="s">
        <v>156</v>
      </c>
      <c r="F467" s="2" t="str">
        <f>HYPERLINK("https://www.sciencedirect.com/journal/aging-and-health-research")</f>
        <v>https://www.sciencedirect.com/journal/aging-and-health-research</v>
      </c>
      <c r="G467" s="1" t="s">
        <v>1574</v>
      </c>
    </row>
    <row r="468" spans="1:7" ht="12.75" customHeight="1" x14ac:dyDescent="0.3">
      <c r="A468" s="1" t="s">
        <v>1575</v>
      </c>
      <c r="B468" s="1" t="s">
        <v>222</v>
      </c>
      <c r="C468" s="1" t="s">
        <v>1576</v>
      </c>
      <c r="D468" s="6">
        <v>1936</v>
      </c>
      <c r="E468" s="1" t="s">
        <v>156</v>
      </c>
      <c r="F468" s="2" t="str">
        <f>HYPERLINK("https://www.sciencedirect.com/journal/american-journal-of-medicine-open")</f>
        <v>https://www.sciencedirect.com/journal/american-journal-of-medicine-open</v>
      </c>
      <c r="G468" s="1" t="s">
        <v>1577</v>
      </c>
    </row>
    <row r="469" spans="1:7" ht="12.75" customHeight="1" x14ac:dyDescent="0.3">
      <c r="A469" s="1" t="s">
        <v>1578</v>
      </c>
      <c r="B469" s="1" t="s">
        <v>107</v>
      </c>
      <c r="C469" s="1" t="s">
        <v>1579</v>
      </c>
      <c r="D469" s="6">
        <v>1344</v>
      </c>
      <c r="E469" s="1" t="s">
        <v>158</v>
      </c>
      <c r="F469" s="2" t="str">
        <f>HYPERLINK("https://www.sciencedirect.com/journal/efb-bioeconomy-journal")</f>
        <v>https://www.sciencedirect.com/journal/efb-bioeconomy-journal</v>
      </c>
      <c r="G469" s="1" t="s">
        <v>1580</v>
      </c>
    </row>
    <row r="470" spans="1:7" ht="12.75" customHeight="1" x14ac:dyDescent="0.3">
      <c r="A470" s="1" t="s">
        <v>1581</v>
      </c>
      <c r="B470" s="1" t="s">
        <v>210</v>
      </c>
      <c r="C470" s="1" t="s">
        <v>1582</v>
      </c>
      <c r="D470" s="6">
        <v>1680</v>
      </c>
      <c r="E470" s="1" t="s">
        <v>156</v>
      </c>
      <c r="F470" s="2" t="str">
        <f>HYPERLINK("https://www.sciencedirect.com/journal/carbon-trends")</f>
        <v>https://www.sciencedirect.com/journal/carbon-trends</v>
      </c>
      <c r="G470" s="1" t="s">
        <v>1583</v>
      </c>
    </row>
    <row r="471" spans="1:7" ht="12.75" customHeight="1" x14ac:dyDescent="0.3">
      <c r="A471" s="1" t="s">
        <v>1584</v>
      </c>
      <c r="B471" s="1" t="s">
        <v>107</v>
      </c>
      <c r="C471" s="1" t="s">
        <v>1585</v>
      </c>
      <c r="D471" s="6">
        <v>1887</v>
      </c>
      <c r="E471" s="1" t="s">
        <v>158</v>
      </c>
      <c r="F471" s="2" t="str">
        <f>HYPERLINK("https://www.sciencedirect.com/journal/biophysical-reports")</f>
        <v>https://www.sciencedirect.com/journal/biophysical-reports</v>
      </c>
      <c r="G471" s="1" t="s">
        <v>1586</v>
      </c>
    </row>
    <row r="472" spans="1:7" ht="12.75" customHeight="1" x14ac:dyDescent="0.3">
      <c r="A472" s="1" t="s">
        <v>1587</v>
      </c>
      <c r="B472" s="1" t="s">
        <v>168</v>
      </c>
      <c r="C472" s="1" t="s">
        <v>1588</v>
      </c>
      <c r="D472" s="6">
        <v>1848</v>
      </c>
      <c r="E472" s="1" t="s">
        <v>156</v>
      </c>
      <c r="F472" s="2" t="str">
        <f>HYPERLINK("https://www.sciencedirect.com/journal/plant-stress")</f>
        <v>https://www.sciencedirect.com/journal/plant-stress</v>
      </c>
      <c r="G472" s="1" t="s">
        <v>1589</v>
      </c>
    </row>
    <row r="473" spans="1:7" ht="12.75" customHeight="1" x14ac:dyDescent="0.3">
      <c r="A473" s="1" t="s">
        <v>1590</v>
      </c>
      <c r="B473" s="1" t="s">
        <v>1591</v>
      </c>
      <c r="C473" s="1" t="s">
        <v>1592</v>
      </c>
      <c r="D473" s="6">
        <v>1808</v>
      </c>
      <c r="E473" s="1" t="s">
        <v>156</v>
      </c>
      <c r="F473" s="2" t="str">
        <f>HYPERLINK("https://www.sciencedirect.com/journal/biomedical-engineering-advances")</f>
        <v>https://www.sciencedirect.com/journal/biomedical-engineering-advances</v>
      </c>
      <c r="G473" s="1" t="s">
        <v>1593</v>
      </c>
    </row>
    <row r="474" spans="1:7" ht="12.75" customHeight="1" x14ac:dyDescent="0.3">
      <c r="A474" s="1" t="s">
        <v>1594</v>
      </c>
      <c r="B474" s="1" t="s">
        <v>1595</v>
      </c>
      <c r="C474" s="1" t="s">
        <v>1596</v>
      </c>
      <c r="D474" s="6">
        <v>1640</v>
      </c>
      <c r="E474" s="1" t="s">
        <v>156</v>
      </c>
      <c r="F474" s="2" t="str">
        <f>HYPERLINK("https://www.sciencedirect.com/journal/international-journal-of-information-management-data-insights")</f>
        <v>https://www.sciencedirect.com/journal/international-journal-of-information-management-data-insights</v>
      </c>
      <c r="G474" s="1" t="s">
        <v>1597</v>
      </c>
    </row>
    <row r="475" spans="1:7" ht="12.75" customHeight="1" x14ac:dyDescent="0.3">
      <c r="A475" s="1" t="s">
        <v>1598</v>
      </c>
      <c r="B475" s="1" t="s">
        <v>166</v>
      </c>
      <c r="C475" s="1" t="s">
        <v>1599</v>
      </c>
      <c r="D475" s="6">
        <v>1488</v>
      </c>
      <c r="E475" s="1" t="s">
        <v>156</v>
      </c>
      <c r="F475" s="2" t="str">
        <f>HYPERLINK("https://www.sciencedirect.com/journal/journal-of-urban-mobility")</f>
        <v>https://www.sciencedirect.com/journal/journal-of-urban-mobility</v>
      </c>
      <c r="G475" s="1" t="s">
        <v>1600</v>
      </c>
    </row>
    <row r="476" spans="1:7" ht="12.75" customHeight="1" x14ac:dyDescent="0.3">
      <c r="A476" s="1" t="s">
        <v>1601</v>
      </c>
      <c r="B476" s="1" t="s">
        <v>1602</v>
      </c>
      <c r="C476" s="1" t="s">
        <v>1603</v>
      </c>
      <c r="D476" s="6">
        <v>824</v>
      </c>
      <c r="E476" s="1" t="s">
        <v>158</v>
      </c>
      <c r="F476" s="2" t="str">
        <f>HYPERLINK("https://www.sciencedirect.com/journal/intelligent-medicine")</f>
        <v>https://www.sciencedirect.com/journal/intelligent-medicine</v>
      </c>
      <c r="G476" s="1" t="s">
        <v>1604</v>
      </c>
    </row>
    <row r="477" spans="1:7" ht="12.75" customHeight="1" x14ac:dyDescent="0.3">
      <c r="A477" s="1" t="s">
        <v>1605</v>
      </c>
      <c r="B477" s="1" t="s">
        <v>179</v>
      </c>
      <c r="C477" s="1" t="s">
        <v>1606</v>
      </c>
      <c r="D477" s="6">
        <v>2208</v>
      </c>
      <c r="E477" s="1" t="s">
        <v>156</v>
      </c>
      <c r="F477" s="2" t="str">
        <f>HYPERLINK("https://www.sciencedirect.com/journal/renewable-and-sustainable-energy-transition")</f>
        <v>https://www.sciencedirect.com/journal/renewable-and-sustainable-energy-transition</v>
      </c>
      <c r="G477" s="1" t="s">
        <v>1607</v>
      </c>
    </row>
    <row r="478" spans="1:7" ht="12.75" customHeight="1" x14ac:dyDescent="0.3">
      <c r="A478" s="1" t="s">
        <v>1608</v>
      </c>
      <c r="B478" s="1" t="s">
        <v>107</v>
      </c>
      <c r="C478" s="1" t="s">
        <v>1609</v>
      </c>
      <c r="D478" s="6">
        <v>2056</v>
      </c>
      <c r="E478" s="1" t="s">
        <v>156</v>
      </c>
      <c r="F478" s="2" t="str">
        <f>HYPERLINK("https://www.sciencedirect.com/journal/bba-advances")</f>
        <v>https://www.sciencedirect.com/journal/bba-advances</v>
      </c>
      <c r="G478" s="1" t="s">
        <v>1610</v>
      </c>
    </row>
    <row r="479" spans="1:7" ht="12.75" customHeight="1" x14ac:dyDescent="0.3">
      <c r="A479" s="1" t="s">
        <v>1611</v>
      </c>
      <c r="B479" s="1" t="s">
        <v>179</v>
      </c>
      <c r="C479" s="1" t="s">
        <v>1612</v>
      </c>
      <c r="D479" s="6">
        <v>2056</v>
      </c>
      <c r="E479" s="1" t="s">
        <v>158</v>
      </c>
      <c r="F479" s="2" t="str">
        <f>HYPERLINK("https://www.sciencedirect.com/journal/solar-energy-advances")</f>
        <v>https://www.sciencedirect.com/journal/solar-energy-advances</v>
      </c>
      <c r="G479" s="1" t="s">
        <v>1613</v>
      </c>
    </row>
    <row r="480" spans="1:7" ht="12.75" customHeight="1" x14ac:dyDescent="0.3">
      <c r="A480" s="1" t="s">
        <v>1614</v>
      </c>
      <c r="B480" s="1" t="s">
        <v>277</v>
      </c>
      <c r="C480" s="1" t="s">
        <v>1615</v>
      </c>
      <c r="D480" s="6">
        <v>1424</v>
      </c>
      <c r="E480" s="1" t="s">
        <v>156</v>
      </c>
      <c r="F480" s="2" t="str">
        <f>HYPERLINK("https://www.sciencedirect.com/journal/immunoinformatics")</f>
        <v>https://www.sciencedirect.com/journal/immunoinformatics</v>
      </c>
      <c r="G480" s="1" t="s">
        <v>1616</v>
      </c>
    </row>
    <row r="481" spans="1:7" ht="12.75" customHeight="1" x14ac:dyDescent="0.3">
      <c r="A481" s="1" t="s">
        <v>1617</v>
      </c>
      <c r="B481" s="1" t="s">
        <v>225</v>
      </c>
      <c r="C481" s="1" t="s">
        <v>1618</v>
      </c>
      <c r="D481" s="6">
        <v>1120</v>
      </c>
      <c r="E481" s="1" t="s">
        <v>158</v>
      </c>
      <c r="F481" s="2" t="str">
        <f>HYPERLINK("https://www.sciencedirect.com/journal/asia-and-the-global-economy")</f>
        <v>https://www.sciencedirect.com/journal/asia-and-the-global-economy</v>
      </c>
      <c r="G481" s="1" t="s">
        <v>1619</v>
      </c>
    </row>
    <row r="482" spans="1:7" ht="12.75" customHeight="1" x14ac:dyDescent="0.3">
      <c r="A482" s="1" t="s">
        <v>1620</v>
      </c>
      <c r="B482" s="1" t="s">
        <v>483</v>
      </c>
      <c r="C482" s="1" t="s">
        <v>1621</v>
      </c>
      <c r="D482" s="6">
        <v>2024</v>
      </c>
      <c r="E482" s="1" t="s">
        <v>156</v>
      </c>
      <c r="F482" s="2" t="str">
        <f>HYPERLINK("https://www.sciencedirect.com/journal/current-research-in-parasitology-and-vector-borne-diseases")</f>
        <v>https://www.sciencedirect.com/journal/current-research-in-parasitology-and-vector-borne-diseases</v>
      </c>
      <c r="G482" s="1" t="s">
        <v>1622</v>
      </c>
    </row>
    <row r="483" spans="1:7" ht="12.75" customHeight="1" x14ac:dyDescent="0.3">
      <c r="A483" s="1" t="s">
        <v>1623</v>
      </c>
      <c r="B483" s="1" t="s">
        <v>410</v>
      </c>
      <c r="C483" s="1" t="s">
        <v>1624</v>
      </c>
      <c r="D483" s="6">
        <v>1912</v>
      </c>
      <c r="E483" s="1" t="s">
        <v>158</v>
      </c>
      <c r="F483" s="2" t="str">
        <f>HYPERLINK("https://www.sciencedirect.com/journal/international-dental-journal")</f>
        <v>https://www.sciencedirect.com/journal/international-dental-journal</v>
      </c>
      <c r="G483" s="1" t="s">
        <v>1625</v>
      </c>
    </row>
    <row r="484" spans="1:7" ht="12.75" customHeight="1" x14ac:dyDescent="0.3">
      <c r="A484" s="1" t="s">
        <v>1626</v>
      </c>
      <c r="B484" s="1" t="s">
        <v>868</v>
      </c>
      <c r="C484" s="1" t="s">
        <v>1627</v>
      </c>
      <c r="D484" s="6">
        <v>1496</v>
      </c>
      <c r="E484" s="1" t="s">
        <v>158</v>
      </c>
      <c r="F484" s="2" t="str">
        <f>HYPERLINK("https://www.sciencedirect.com/journal/emerging-trends-in-drugs-addictions-and-health")</f>
        <v>https://www.sciencedirect.com/journal/emerging-trends-in-drugs-addictions-and-health</v>
      </c>
      <c r="G484" s="1" t="s">
        <v>1628</v>
      </c>
    </row>
    <row r="485" spans="1:7" ht="12.75" customHeight="1" x14ac:dyDescent="0.3">
      <c r="A485" s="1" t="s">
        <v>1629</v>
      </c>
      <c r="B485" s="1" t="s">
        <v>222</v>
      </c>
      <c r="C485" s="1" t="s">
        <v>1630</v>
      </c>
      <c r="D485" s="6">
        <v>1232</v>
      </c>
      <c r="E485" s="1" t="s">
        <v>158</v>
      </c>
      <c r="F485" s="2" t="str">
        <f>HYPERLINK("https://www.sciencedirect.com/journal/advances-in-oral-and-maxillofacial-surgery")</f>
        <v>https://www.sciencedirect.com/journal/advances-in-oral-and-maxillofacial-surgery</v>
      </c>
      <c r="G485" s="1" t="s">
        <v>1631</v>
      </c>
    </row>
    <row r="486" spans="1:7" ht="12.75" customHeight="1" x14ac:dyDescent="0.3">
      <c r="A486" s="1" t="s">
        <v>1632</v>
      </c>
      <c r="B486" s="1" t="s">
        <v>107</v>
      </c>
      <c r="C486" s="1" t="s">
        <v>1633</v>
      </c>
      <c r="D486" s="6">
        <v>1488</v>
      </c>
      <c r="E486" s="1" t="s">
        <v>156</v>
      </c>
      <c r="F486" s="2" t="str">
        <f>HYPERLINK("https://www.sciencedirect.com/journal/advances-in-redox-research")</f>
        <v>https://www.sciencedirect.com/journal/advances-in-redox-research</v>
      </c>
      <c r="G486" s="1" t="s">
        <v>1634</v>
      </c>
    </row>
    <row r="487" spans="1:7" ht="12.75" customHeight="1" x14ac:dyDescent="0.3">
      <c r="A487" s="1" t="s">
        <v>1635</v>
      </c>
      <c r="B487" s="1" t="s">
        <v>310</v>
      </c>
      <c r="C487" s="1" t="s">
        <v>1636</v>
      </c>
      <c r="D487" s="6">
        <v>1392</v>
      </c>
      <c r="E487" s="1" t="s">
        <v>156</v>
      </c>
      <c r="F487" s="2" t="str">
        <f>HYPERLINK("https://www.sciencedirect.com/journal/pharmacological-research-modern-chinese-medicine")</f>
        <v>https://www.sciencedirect.com/journal/pharmacological-research-modern-chinese-medicine</v>
      </c>
      <c r="G487" s="1" t="s">
        <v>1637</v>
      </c>
    </row>
    <row r="488" spans="1:7" ht="12.75" customHeight="1" x14ac:dyDescent="0.3">
      <c r="A488" s="1" t="s">
        <v>1638</v>
      </c>
      <c r="B488" s="1" t="s">
        <v>193</v>
      </c>
      <c r="C488" s="1" t="s">
        <v>1639</v>
      </c>
      <c r="D488" s="6">
        <v>936</v>
      </c>
      <c r="E488" s="1" t="s">
        <v>158</v>
      </c>
      <c r="F488" s="2" t="str">
        <f>HYPERLINK("https://www.sciencedirect.com/journal/journal-of-cartilage-and-joint-preservation")</f>
        <v>https://www.sciencedirect.com/journal/journal-of-cartilage-and-joint-preservation</v>
      </c>
      <c r="G488" s="1" t="s">
        <v>1640</v>
      </c>
    </row>
    <row r="489" spans="1:7" ht="12.75" customHeight="1" x14ac:dyDescent="0.3">
      <c r="A489" s="1" t="s">
        <v>1641</v>
      </c>
      <c r="B489" s="1" t="s">
        <v>319</v>
      </c>
      <c r="C489" s="1" t="s">
        <v>1642</v>
      </c>
      <c r="D489" s="6">
        <v>2768</v>
      </c>
      <c r="E489" s="1" t="s">
        <v>158</v>
      </c>
      <c r="F489" s="2" t="str">
        <f>HYPERLINK("https://www.sciencedirect.com/journal/biological-psychiatry-global-open-science")</f>
        <v>https://www.sciencedirect.com/journal/biological-psychiatry-global-open-science</v>
      </c>
      <c r="G489" s="1" t="s">
        <v>1643</v>
      </c>
    </row>
    <row r="490" spans="1:7" ht="12.75" customHeight="1" x14ac:dyDescent="0.3">
      <c r="A490" s="1" t="s">
        <v>1644</v>
      </c>
      <c r="B490" s="1" t="s">
        <v>1645</v>
      </c>
      <c r="C490" s="1" t="s">
        <v>1646</v>
      </c>
      <c r="D490" s="6">
        <v>3799.5</v>
      </c>
      <c r="E490" s="1" t="s">
        <v>156</v>
      </c>
      <c r="F490" s="2" t="str">
        <f>HYPERLINK("https://www.sciencedirect.com/journal/cell-reports-methods")</f>
        <v>https://www.sciencedirect.com/journal/cell-reports-methods</v>
      </c>
      <c r="G490" s="1" t="s">
        <v>1647</v>
      </c>
    </row>
    <row r="491" spans="1:7" ht="12.75" customHeight="1" x14ac:dyDescent="0.3">
      <c r="A491" s="1" t="s">
        <v>1648</v>
      </c>
      <c r="B491" s="1" t="s">
        <v>222</v>
      </c>
      <c r="C491" s="1" t="s">
        <v>1649</v>
      </c>
      <c r="D491" s="6">
        <v>4309.5</v>
      </c>
      <c r="E491" s="1" t="s">
        <v>156</v>
      </c>
      <c r="F491" s="2" t="str">
        <f>HYPERLINK("https://www.sciencedirect.com/journal/the-lancet-regional-health-americas")</f>
        <v>https://www.sciencedirect.com/journal/the-lancet-regional-health-americas</v>
      </c>
      <c r="G491" s="1" t="s">
        <v>1650</v>
      </c>
    </row>
    <row r="492" spans="1:7" ht="12.75" customHeight="1" x14ac:dyDescent="0.3">
      <c r="A492" s="1" t="s">
        <v>1651</v>
      </c>
      <c r="B492" s="1" t="s">
        <v>222</v>
      </c>
      <c r="C492" s="1" t="s">
        <v>1652</v>
      </c>
      <c r="D492" s="6">
        <v>1160</v>
      </c>
      <c r="E492" s="1" t="s">
        <v>158</v>
      </c>
      <c r="F492" s="2" t="str">
        <f>HYPERLINK("https://www.sciencedirect.com/journal/ipem-translation")</f>
        <v>https://www.sciencedirect.com/journal/ipem-translation</v>
      </c>
      <c r="G492" s="1" t="s">
        <v>1653</v>
      </c>
    </row>
    <row r="493" spans="1:7" ht="12.75" customHeight="1" x14ac:dyDescent="0.3">
      <c r="A493" s="1" t="s">
        <v>1654</v>
      </c>
      <c r="B493" s="1" t="s">
        <v>1655</v>
      </c>
      <c r="C493" s="1" t="s">
        <v>1656</v>
      </c>
      <c r="D493" s="6">
        <v>1448</v>
      </c>
      <c r="E493" s="1" t="s">
        <v>156</v>
      </c>
      <c r="F493" s="2" t="str">
        <f>HYPERLINK("https://www.sciencedirect.com/journal/artificial-intelligence-in-the-life-sciences")</f>
        <v>https://www.sciencedirect.com/journal/artificial-intelligence-in-the-life-sciences</v>
      </c>
      <c r="G493" s="1" t="s">
        <v>1657</v>
      </c>
    </row>
    <row r="494" spans="1:7" ht="12.75" customHeight="1" x14ac:dyDescent="0.3">
      <c r="A494" s="1" t="s">
        <v>1658</v>
      </c>
      <c r="B494" s="1" t="s">
        <v>207</v>
      </c>
      <c r="C494" s="1" t="s">
        <v>1659</v>
      </c>
      <c r="D494" s="6">
        <v>1584</v>
      </c>
      <c r="E494" s="1" t="s">
        <v>156</v>
      </c>
      <c r="F494" s="2" t="str">
        <f>HYPERLINK("https://www.sciencedirect.com/journal/neuroimmunology-reports")</f>
        <v>https://www.sciencedirect.com/journal/neuroimmunology-reports</v>
      </c>
      <c r="G494" s="1" t="s">
        <v>1660</v>
      </c>
    </row>
    <row r="495" spans="1:7" ht="12.75" customHeight="1" x14ac:dyDescent="0.3">
      <c r="A495" s="1" t="s">
        <v>1661</v>
      </c>
      <c r="B495" s="1" t="s">
        <v>404</v>
      </c>
      <c r="C495" s="1" t="s">
        <v>1662</v>
      </c>
      <c r="D495" s="6">
        <v>1896</v>
      </c>
      <c r="E495" s="1" t="s">
        <v>156</v>
      </c>
      <c r="F495" s="2" t="str">
        <f>HYPERLINK("https://www.sciencedirect.com/journal/the-journal-of-climate-change-and-health")</f>
        <v>https://www.sciencedirect.com/journal/the-journal-of-climate-change-and-health</v>
      </c>
      <c r="G495" s="1" t="s">
        <v>1663</v>
      </c>
    </row>
    <row r="496" spans="1:7" ht="12.75" customHeight="1" x14ac:dyDescent="0.3">
      <c r="A496" s="1" t="s">
        <v>1664</v>
      </c>
      <c r="B496" s="1" t="s">
        <v>222</v>
      </c>
      <c r="C496" s="1" t="s">
        <v>1665</v>
      </c>
      <c r="D496" s="6">
        <v>3056</v>
      </c>
      <c r="E496" s="1" t="s">
        <v>158</v>
      </c>
      <c r="F496" s="2" t="str">
        <f>HYPERLINK("https://www.sciencedirect.com/journal/jacc-asia")</f>
        <v>https://www.sciencedirect.com/journal/jacc-asia</v>
      </c>
      <c r="G496" s="1" t="s">
        <v>1666</v>
      </c>
    </row>
    <row r="497" spans="1:7" ht="12.75" customHeight="1" x14ac:dyDescent="0.3">
      <c r="A497" s="1" t="s">
        <v>1667</v>
      </c>
      <c r="B497" s="1" t="s">
        <v>253</v>
      </c>
      <c r="C497" s="1" t="s">
        <v>1668</v>
      </c>
      <c r="D497" s="6">
        <v>1840</v>
      </c>
      <c r="E497" s="1" t="s">
        <v>156</v>
      </c>
      <c r="F497" s="2" t="str">
        <f>HYPERLINK("https://www.sciencedirect.com/journal/exploratory-research-in-clinical-and-social-pharmacy")</f>
        <v>https://www.sciencedirect.com/journal/exploratory-research-in-clinical-and-social-pharmacy</v>
      </c>
      <c r="G497" s="1" t="s">
        <v>1669</v>
      </c>
    </row>
    <row r="498" spans="1:7" ht="12.75" customHeight="1" x14ac:dyDescent="0.3">
      <c r="A498" s="1" t="s">
        <v>1670</v>
      </c>
      <c r="B498" s="1" t="s">
        <v>164</v>
      </c>
      <c r="C498" s="1" t="s">
        <v>1671</v>
      </c>
      <c r="D498" s="6">
        <v>1264</v>
      </c>
      <c r="E498" s="1" t="s">
        <v>156</v>
      </c>
      <c r="F498" s="2" t="str">
        <f>HYPERLINK("https://www.sciencedirect.com/journal/chemical-thermodynamics-and-thermal-analysis")</f>
        <v>https://www.sciencedirect.com/journal/chemical-thermodynamics-and-thermal-analysis</v>
      </c>
      <c r="G498" s="1" t="s">
        <v>1672</v>
      </c>
    </row>
    <row r="499" spans="1:7" ht="12.75" customHeight="1" x14ac:dyDescent="0.3">
      <c r="A499" s="1" t="s">
        <v>1673</v>
      </c>
      <c r="B499" s="1" t="s">
        <v>161</v>
      </c>
      <c r="C499" s="1" t="s">
        <v>1674</v>
      </c>
      <c r="D499" s="6">
        <v>1544</v>
      </c>
      <c r="E499" s="1" t="s">
        <v>156</v>
      </c>
      <c r="F499" s="2" t="str">
        <f>HYPERLINK("https://www.sciencedirect.com/journal/ssm-qualitative-research-in-health")</f>
        <v>https://www.sciencedirect.com/journal/ssm-qualitative-research-in-health</v>
      </c>
      <c r="G499" s="1" t="s">
        <v>1675</v>
      </c>
    </row>
    <row r="500" spans="1:7" ht="12.75" customHeight="1" x14ac:dyDescent="0.3">
      <c r="A500" s="1" t="s">
        <v>1676</v>
      </c>
      <c r="B500" s="1" t="s">
        <v>163</v>
      </c>
      <c r="C500" s="1" t="s">
        <v>1677</v>
      </c>
      <c r="D500" s="6">
        <v>1992</v>
      </c>
      <c r="E500" s="1" t="s">
        <v>156</v>
      </c>
      <c r="F500" s="2" t="str">
        <f>HYPERLINK("https://www.sciencedirect.com/journal/sleep-epidemiology")</f>
        <v>https://www.sciencedirect.com/journal/sleep-epidemiology</v>
      </c>
      <c r="G500" s="1" t="s">
        <v>1678</v>
      </c>
    </row>
    <row r="501" spans="1:7" ht="12.75" customHeight="1" x14ac:dyDescent="0.3">
      <c r="A501" s="1" t="s">
        <v>1679</v>
      </c>
      <c r="B501" s="1" t="s">
        <v>240</v>
      </c>
      <c r="C501" s="1" t="s">
        <v>1680</v>
      </c>
      <c r="D501" s="6">
        <v>1496</v>
      </c>
      <c r="E501" s="1" t="s">
        <v>158</v>
      </c>
      <c r="F501" s="2" t="str">
        <f>HYPERLINK("https://www.sciencedirect.com/journal/foot-and-ankle-surgery-techniques-reports-and-cases")</f>
        <v>https://www.sciencedirect.com/journal/foot-and-ankle-surgery-techniques-reports-and-cases</v>
      </c>
      <c r="G501" s="1" t="s">
        <v>1681</v>
      </c>
    </row>
    <row r="502" spans="1:7" ht="12.75" customHeight="1" x14ac:dyDescent="0.3">
      <c r="A502" s="1" t="s">
        <v>1682</v>
      </c>
      <c r="B502" s="1" t="s">
        <v>251</v>
      </c>
      <c r="C502" s="1" t="s">
        <v>1683</v>
      </c>
      <c r="D502" s="6">
        <v>2264</v>
      </c>
      <c r="E502" s="1" t="s">
        <v>156</v>
      </c>
      <c r="F502" s="2" t="str">
        <f>HYPERLINK("https://www.sciencedirect.com/journal/advances-in-cancer-biology-metastasis")</f>
        <v>https://www.sciencedirect.com/journal/advances-in-cancer-biology-metastasis</v>
      </c>
      <c r="G502" s="1" t="s">
        <v>1684</v>
      </c>
    </row>
    <row r="503" spans="1:7" ht="12.75" customHeight="1" x14ac:dyDescent="0.3">
      <c r="A503" s="1" t="s">
        <v>1685</v>
      </c>
      <c r="B503" s="1" t="s">
        <v>169</v>
      </c>
      <c r="C503" s="1" t="s">
        <v>1686</v>
      </c>
      <c r="D503" s="6">
        <v>1344</v>
      </c>
      <c r="E503" s="1" t="s">
        <v>158</v>
      </c>
      <c r="F503" s="2" t="str">
        <f>HYPERLINK("https://www.sciencedirect.com/journal/isprs-open-journal-of-photogrammetry-and-remote-sensing")</f>
        <v>https://www.sciencedirect.com/journal/isprs-open-journal-of-photogrammetry-and-remote-sensing</v>
      </c>
      <c r="G503" s="1" t="s">
        <v>1687</v>
      </c>
    </row>
    <row r="504" spans="1:7" ht="12.75" customHeight="1" x14ac:dyDescent="0.3">
      <c r="A504" s="1" t="s">
        <v>1688</v>
      </c>
      <c r="B504" s="1" t="s">
        <v>1689</v>
      </c>
      <c r="C504" s="1" t="s">
        <v>1690</v>
      </c>
      <c r="D504" s="6">
        <v>1384</v>
      </c>
      <c r="E504" s="1" t="s">
        <v>156</v>
      </c>
      <c r="F504" s="2" t="str">
        <f>HYPERLINK("https://www.sciencedirect.com/journal/measurement-food")</f>
        <v>https://www.sciencedirect.com/journal/measurement-food</v>
      </c>
      <c r="G504" s="1" t="s">
        <v>1691</v>
      </c>
    </row>
    <row r="505" spans="1:7" ht="12.75" customHeight="1" x14ac:dyDescent="0.3">
      <c r="A505" s="1" t="s">
        <v>1692</v>
      </c>
      <c r="B505" s="1" t="s">
        <v>222</v>
      </c>
      <c r="C505" s="1" t="s">
        <v>1693</v>
      </c>
      <c r="D505" s="6">
        <v>1972</v>
      </c>
      <c r="E505" s="1" t="s">
        <v>156</v>
      </c>
      <c r="F505" s="2" t="str">
        <f>HYPERLINK("https://www.sciencedirect.com/journal/the-lancet-regional-health-southeast-asia")</f>
        <v>https://www.sciencedirect.com/journal/the-lancet-regional-health-southeast-asia</v>
      </c>
      <c r="G505" s="1" t="s">
        <v>1694</v>
      </c>
    </row>
    <row r="506" spans="1:7" ht="12.75" customHeight="1" x14ac:dyDescent="0.3">
      <c r="A506" s="1" t="s">
        <v>1695</v>
      </c>
      <c r="B506" s="1" t="s">
        <v>180</v>
      </c>
      <c r="C506" s="1" t="s">
        <v>1696</v>
      </c>
      <c r="D506" s="6">
        <v>1488</v>
      </c>
      <c r="E506" s="1" t="s">
        <v>156</v>
      </c>
      <c r="F506" s="2" t="str">
        <f>HYPERLINK("https://www.sciencedirect.com/journal/power-electronic-devices-and-components")</f>
        <v>https://www.sciencedirect.com/journal/power-electronic-devices-and-components</v>
      </c>
      <c r="G506" s="1" t="s">
        <v>1697</v>
      </c>
    </row>
    <row r="507" spans="1:7" ht="12.75" customHeight="1" x14ac:dyDescent="0.3">
      <c r="A507" s="1" t="s">
        <v>1698</v>
      </c>
      <c r="B507" s="1" t="s">
        <v>160</v>
      </c>
      <c r="C507" s="1" t="s">
        <v>1699</v>
      </c>
      <c r="D507" s="6">
        <v>1320</v>
      </c>
      <c r="E507" s="1" t="s">
        <v>156</v>
      </c>
      <c r="F507" s="2" t="str">
        <f>HYPERLINK("https://www.sciencedirect.com/journal/additive-manufacturing-letters")</f>
        <v>https://www.sciencedirect.com/journal/additive-manufacturing-letters</v>
      </c>
      <c r="G507" s="1" t="s">
        <v>1700</v>
      </c>
    </row>
    <row r="508" spans="1:7" ht="12.75" customHeight="1" x14ac:dyDescent="0.3">
      <c r="A508" s="1" t="s">
        <v>1701</v>
      </c>
      <c r="B508" s="1" t="s">
        <v>168</v>
      </c>
      <c r="C508" s="1" t="s">
        <v>1702</v>
      </c>
      <c r="D508" s="6">
        <v>1504</v>
      </c>
      <c r="E508" s="1" t="s">
        <v>156</v>
      </c>
      <c r="F508" s="2" t="str">
        <f>HYPERLINK("https://www.sciencedirect.com/journal/smart-agricultural-technology")</f>
        <v>https://www.sciencedirect.com/journal/smart-agricultural-technology</v>
      </c>
      <c r="G508" s="1" t="s">
        <v>1703</v>
      </c>
    </row>
    <row r="509" spans="1:7" ht="12.75" customHeight="1" x14ac:dyDescent="0.3">
      <c r="A509" s="1" t="s">
        <v>1704</v>
      </c>
      <c r="B509" s="1" t="s">
        <v>1705</v>
      </c>
      <c r="C509" s="1" t="s">
        <v>1706</v>
      </c>
      <c r="D509" s="6">
        <v>1648</v>
      </c>
      <c r="E509" s="1" t="s">
        <v>156</v>
      </c>
      <c r="F509" s="2" t="str">
        <f>HYPERLINK("https://www.sciencedirect.com/journal/cleaner-logistics-and-supply-chain")</f>
        <v>https://www.sciencedirect.com/journal/cleaner-logistics-and-supply-chain</v>
      </c>
      <c r="G509" s="1" t="s">
        <v>1707</v>
      </c>
    </row>
    <row r="510" spans="1:7" ht="12.75" customHeight="1" x14ac:dyDescent="0.3">
      <c r="A510" s="1" t="s">
        <v>1708</v>
      </c>
      <c r="B510" s="1" t="s">
        <v>1709</v>
      </c>
      <c r="C510" s="1" t="s">
        <v>1710</v>
      </c>
      <c r="D510" s="6">
        <v>1536</v>
      </c>
      <c r="E510" s="1" t="s">
        <v>156</v>
      </c>
      <c r="F510" s="2" t="str">
        <f>HYPERLINK("https://www.sciencedirect.com/journal/cleaner-materials")</f>
        <v>https://www.sciencedirect.com/journal/cleaner-materials</v>
      </c>
      <c r="G510" s="1" t="s">
        <v>1711</v>
      </c>
    </row>
    <row r="511" spans="1:7" ht="12.75" customHeight="1" x14ac:dyDescent="0.3">
      <c r="A511" s="1" t="s">
        <v>1712</v>
      </c>
      <c r="B511" s="1" t="s">
        <v>164</v>
      </c>
      <c r="C511" s="1" t="s">
        <v>1713</v>
      </c>
      <c r="D511" s="6">
        <v>1768</v>
      </c>
      <c r="E511" s="1" t="s">
        <v>156</v>
      </c>
      <c r="F511" s="2" t="str">
        <f>HYPERLINK("https://www.sciencedirect.com/journal/journal-of-chromatography-open")</f>
        <v>https://www.sciencedirect.com/journal/journal-of-chromatography-open</v>
      </c>
      <c r="G511" s="1" t="s">
        <v>1714</v>
      </c>
    </row>
    <row r="512" spans="1:7" ht="12.75" customHeight="1" x14ac:dyDescent="0.3">
      <c r="A512" s="1" t="s">
        <v>1715</v>
      </c>
      <c r="B512" s="1" t="s">
        <v>187</v>
      </c>
      <c r="C512" s="1" t="s">
        <v>1716</v>
      </c>
      <c r="D512" s="6">
        <v>1992</v>
      </c>
      <c r="E512" s="1" t="s">
        <v>156</v>
      </c>
      <c r="F512" s="2" t="str">
        <f>HYPERLINK("https://www.sciencedirect.com/journal/addiction-neuroscience")</f>
        <v>https://www.sciencedirect.com/journal/addiction-neuroscience</v>
      </c>
      <c r="G512" s="1" t="s">
        <v>1717</v>
      </c>
    </row>
    <row r="513" spans="1:7" ht="12.75" customHeight="1" x14ac:dyDescent="0.3">
      <c r="A513" s="1" t="s">
        <v>1718</v>
      </c>
      <c r="B513" s="1" t="s">
        <v>402</v>
      </c>
      <c r="C513" s="1" t="s">
        <v>1719</v>
      </c>
      <c r="D513" s="6">
        <v>1696</v>
      </c>
      <c r="E513" s="1" t="s">
        <v>156</v>
      </c>
      <c r="F513" s="2" t="str">
        <f>HYPERLINK("https://www.sciencedirect.com/journal/nature-based-solutions")</f>
        <v>https://www.sciencedirect.com/journal/nature-based-solutions</v>
      </c>
      <c r="G513" s="1" t="s">
        <v>1720</v>
      </c>
    </row>
    <row r="514" spans="1:7" ht="12.75" customHeight="1" x14ac:dyDescent="0.3">
      <c r="A514" s="1" t="s">
        <v>1721</v>
      </c>
      <c r="B514" s="1" t="s">
        <v>187</v>
      </c>
      <c r="C514" s="1" t="s">
        <v>1722</v>
      </c>
      <c r="D514" s="6">
        <v>1496</v>
      </c>
      <c r="E514" s="1" t="s">
        <v>158</v>
      </c>
      <c r="F514" s="2" t="str">
        <f>HYPERLINK("https://www.sciencedirect.com/journal/neuroscience-applied")</f>
        <v>https://www.sciencedirect.com/journal/neuroscience-applied</v>
      </c>
      <c r="G514" s="1" t="s">
        <v>1723</v>
      </c>
    </row>
    <row r="515" spans="1:7" ht="12.75" customHeight="1" x14ac:dyDescent="0.3">
      <c r="A515" s="1" t="s">
        <v>1724</v>
      </c>
      <c r="B515" s="1" t="s">
        <v>410</v>
      </c>
      <c r="C515" s="1" t="s">
        <v>1725</v>
      </c>
      <c r="D515" s="6">
        <v>1872</v>
      </c>
      <c r="E515" s="1" t="s">
        <v>158</v>
      </c>
      <c r="F515" s="2" t="str">
        <f>HYPERLINK("https://www.sciencedirect.com/journal/jada-foundational-science")</f>
        <v>https://www.sciencedirect.com/journal/jada-foundational-science</v>
      </c>
      <c r="G515" s="1" t="s">
        <v>1726</v>
      </c>
    </row>
    <row r="516" spans="1:7" ht="12.75" customHeight="1" x14ac:dyDescent="0.3">
      <c r="A516" s="1" t="s">
        <v>1727</v>
      </c>
      <c r="B516" s="1" t="s">
        <v>205</v>
      </c>
      <c r="C516" s="1" t="s">
        <v>1728</v>
      </c>
      <c r="D516" s="6">
        <v>1000</v>
      </c>
      <c r="E516" s="1" t="s">
        <v>156</v>
      </c>
      <c r="F516" s="2" t="str">
        <f>HYPERLINK("https://www.sciencedirect.com/journal/journal-of-computational-mathematics-and-data-science")</f>
        <v>https://www.sciencedirect.com/journal/journal-of-computational-mathematics-and-data-science</v>
      </c>
      <c r="G516" s="1" t="s">
        <v>1729</v>
      </c>
    </row>
    <row r="517" spans="1:7" ht="12.75" customHeight="1" x14ac:dyDescent="0.3">
      <c r="A517" s="1" t="s">
        <v>1730</v>
      </c>
      <c r="B517" s="1" t="s">
        <v>1731</v>
      </c>
      <c r="C517" s="1" t="s">
        <v>1732</v>
      </c>
      <c r="D517" s="6">
        <v>1680</v>
      </c>
      <c r="E517" s="1" t="s">
        <v>156</v>
      </c>
      <c r="F517" s="2" t="str">
        <f>HYPERLINK("https://www.sciencedirect.com/journal/european-journal-of-medicinal-chemistry-reports")</f>
        <v>https://www.sciencedirect.com/journal/european-journal-of-medicinal-chemistry-reports</v>
      </c>
      <c r="G517" s="1" t="s">
        <v>1733</v>
      </c>
    </row>
    <row r="518" spans="1:7" ht="12.75" customHeight="1" x14ac:dyDescent="0.3">
      <c r="A518" s="1" t="s">
        <v>1734</v>
      </c>
      <c r="B518" s="1" t="s">
        <v>185</v>
      </c>
      <c r="C518" s="1" t="s">
        <v>1735</v>
      </c>
      <c r="D518" s="6">
        <v>1600</v>
      </c>
      <c r="E518" s="1" t="s">
        <v>156</v>
      </c>
      <c r="F518" s="2" t="str">
        <f>HYPERLINK("https://www.sciencedirect.com/journal/journal-of-hazardous-materials-advances")</f>
        <v>https://www.sciencedirect.com/journal/journal-of-hazardous-materials-advances</v>
      </c>
      <c r="G518" s="1" t="s">
        <v>1736</v>
      </c>
    </row>
    <row r="519" spans="1:7" ht="12.75" customHeight="1" x14ac:dyDescent="0.3">
      <c r="A519" s="1" t="s">
        <v>1737</v>
      </c>
      <c r="B519" s="1" t="s">
        <v>268</v>
      </c>
      <c r="C519" s="1" t="s">
        <v>1738</v>
      </c>
      <c r="D519" s="6">
        <v>1520</v>
      </c>
      <c r="E519" s="1" t="s">
        <v>156</v>
      </c>
      <c r="F519" s="2" t="str">
        <f>HYPERLINK("https://www.sciencedirect.com/journal/journal-of-membrane-science-letters")</f>
        <v>https://www.sciencedirect.com/journal/journal-of-membrane-science-letters</v>
      </c>
      <c r="G519" s="1" t="s">
        <v>1739</v>
      </c>
    </row>
    <row r="520" spans="1:7" ht="12.75" customHeight="1" x14ac:dyDescent="0.3">
      <c r="A520" s="1" t="s">
        <v>1740</v>
      </c>
      <c r="B520" s="1" t="s">
        <v>268</v>
      </c>
      <c r="C520" s="1" t="s">
        <v>1741</v>
      </c>
      <c r="D520" s="6">
        <v>1224</v>
      </c>
      <c r="E520" s="1" t="s">
        <v>156</v>
      </c>
      <c r="F520" s="2" t="str">
        <f>HYPERLINK("https://www.sciencedirect.com/journal/journal-of-ionic-liquids")</f>
        <v>https://www.sciencedirect.com/journal/journal-of-ionic-liquids</v>
      </c>
      <c r="G520" s="1" t="s">
        <v>1742</v>
      </c>
    </row>
    <row r="521" spans="1:7" ht="12.75" customHeight="1" x14ac:dyDescent="0.3">
      <c r="A521" s="1" t="s">
        <v>1743</v>
      </c>
      <c r="B521" s="1" t="s">
        <v>444</v>
      </c>
      <c r="C521" s="1" t="s">
        <v>1744</v>
      </c>
      <c r="D521" s="6">
        <v>936</v>
      </c>
      <c r="E521" s="1" t="s">
        <v>158</v>
      </c>
      <c r="F521" s="2" t="str">
        <f>HYPERLINK("https://www.sciencedirect.com/journal/communications-in-transportation-research")</f>
        <v>https://www.sciencedirect.com/journal/communications-in-transportation-research</v>
      </c>
      <c r="G521" s="1" t="s">
        <v>1745</v>
      </c>
    </row>
    <row r="522" spans="1:7" ht="12.75" customHeight="1" x14ac:dyDescent="0.3">
      <c r="A522" s="1" t="s">
        <v>1746</v>
      </c>
      <c r="B522" s="1" t="s">
        <v>1747</v>
      </c>
      <c r="C522" s="1" t="s">
        <v>1748</v>
      </c>
      <c r="D522" s="6">
        <v>1896</v>
      </c>
      <c r="E522" s="1" t="s">
        <v>156</v>
      </c>
      <c r="F522" s="2" t="str">
        <f>HYPERLINK("https://www.sciencedirect.com/journal/energy-nexus")</f>
        <v>https://www.sciencedirect.com/journal/energy-nexus</v>
      </c>
      <c r="G522" s="1" t="s">
        <v>1749</v>
      </c>
    </row>
    <row r="523" spans="1:7" ht="12.75" customHeight="1" x14ac:dyDescent="0.3">
      <c r="A523" s="1" t="s">
        <v>1750</v>
      </c>
      <c r="B523" s="1" t="s">
        <v>1751</v>
      </c>
      <c r="C523" s="1" t="s">
        <v>1752</v>
      </c>
      <c r="D523" s="6">
        <v>1544</v>
      </c>
      <c r="E523" s="1" t="s">
        <v>156</v>
      </c>
      <c r="F523" s="2" t="str">
        <f>HYPERLINK("https://www.sciencedirect.com/journal/healthcare-analytics")</f>
        <v>https://www.sciencedirect.com/journal/healthcare-analytics</v>
      </c>
      <c r="G523" s="1" t="s">
        <v>1753</v>
      </c>
    </row>
    <row r="524" spans="1:7" ht="12.75" customHeight="1" x14ac:dyDescent="0.3">
      <c r="A524" s="1" t="s">
        <v>1754</v>
      </c>
      <c r="B524" s="1" t="s">
        <v>222</v>
      </c>
      <c r="C524" s="1" t="s">
        <v>1755</v>
      </c>
      <c r="D524" s="6">
        <v>1872</v>
      </c>
      <c r="E524" s="1" t="s">
        <v>158</v>
      </c>
      <c r="F524" s="2" t="str">
        <f>HYPERLINK("https://www.sciencedirect.com/journal/infectious-medicine")</f>
        <v>https://www.sciencedirect.com/journal/infectious-medicine</v>
      </c>
      <c r="G524" s="1" t="s">
        <v>1756</v>
      </c>
    </row>
    <row r="525" spans="1:7" ht="12.75" customHeight="1" x14ac:dyDescent="0.3">
      <c r="A525" s="1" t="s">
        <v>1757</v>
      </c>
      <c r="B525" s="1" t="s">
        <v>166</v>
      </c>
      <c r="C525" s="1" t="s">
        <v>1758</v>
      </c>
      <c r="D525" s="6">
        <v>616</v>
      </c>
      <c r="E525" s="1" t="s">
        <v>156</v>
      </c>
      <c r="F525" s="2" t="str">
        <f>HYPERLINK("https://www.sciencedirect.com/journal/invention-disclosure")</f>
        <v>https://www.sciencedirect.com/journal/invention-disclosure</v>
      </c>
      <c r="G525" s="1" t="s">
        <v>1759</v>
      </c>
    </row>
    <row r="526" spans="1:7" ht="12.75" customHeight="1" x14ac:dyDescent="0.3">
      <c r="A526" s="1" t="s">
        <v>1760</v>
      </c>
      <c r="B526" s="1" t="s">
        <v>1761</v>
      </c>
      <c r="C526" s="1" t="s">
        <v>1762</v>
      </c>
      <c r="D526" s="6">
        <v>1312</v>
      </c>
      <c r="E526" s="1" t="s">
        <v>158</v>
      </c>
      <c r="F526" s="2" t="str">
        <f>HYPERLINK("https://www.sciencedirect.com/journal/human-factors-in-healthcare")</f>
        <v>https://www.sciencedirect.com/journal/human-factors-in-healthcare</v>
      </c>
      <c r="G526" s="1" t="s">
        <v>1763</v>
      </c>
    </row>
    <row r="527" spans="1:7" ht="12.75" customHeight="1" x14ac:dyDescent="0.3">
      <c r="A527" s="1" t="s">
        <v>1764</v>
      </c>
      <c r="B527" s="1" t="s">
        <v>211</v>
      </c>
      <c r="C527" s="1" t="s">
        <v>1765</v>
      </c>
      <c r="D527" s="6">
        <v>1560</v>
      </c>
      <c r="E527" s="1" t="s">
        <v>156</v>
      </c>
      <c r="F527" s="2" t="str">
        <f>HYPERLINK("https://www.sciencedirect.com/journal/telematics-and-informatics-reports")</f>
        <v>https://www.sciencedirect.com/journal/telematics-and-informatics-reports</v>
      </c>
      <c r="G527" s="1" t="s">
        <v>1766</v>
      </c>
    </row>
    <row r="528" spans="1:7" ht="12.75" customHeight="1" x14ac:dyDescent="0.3">
      <c r="A528" s="1" t="s">
        <v>1767</v>
      </c>
      <c r="B528" s="1" t="s">
        <v>168</v>
      </c>
      <c r="C528" s="1" t="s">
        <v>1768</v>
      </c>
      <c r="D528" s="6">
        <v>1712</v>
      </c>
      <c r="E528" s="1" t="s">
        <v>156</v>
      </c>
      <c r="F528" s="2" t="str">
        <f>HYPERLINK("https://www.sciencedirect.com/journal/applied-food-research")</f>
        <v>https://www.sciencedirect.com/journal/applied-food-research</v>
      </c>
      <c r="G528" s="1" t="s">
        <v>1769</v>
      </c>
    </row>
    <row r="529" spans="1:7" ht="12.75" customHeight="1" x14ac:dyDescent="0.3">
      <c r="A529" s="1" t="s">
        <v>1770</v>
      </c>
      <c r="B529" s="1" t="s">
        <v>222</v>
      </c>
      <c r="C529" s="1" t="s">
        <v>1771</v>
      </c>
      <c r="D529" s="6">
        <v>824</v>
      </c>
      <c r="E529" s="1" t="s">
        <v>158</v>
      </c>
      <c r="F529" s="2" t="str">
        <f>HYPERLINK("https://www.sciencedirect.com/journal/chinese-medical-journal-pulmonary-and-critical-care-medicine")</f>
        <v>https://www.sciencedirect.com/journal/chinese-medical-journal-pulmonary-and-critical-care-medicine</v>
      </c>
      <c r="G529" s="1" t="s">
        <v>1772</v>
      </c>
    </row>
    <row r="530" spans="1:7" ht="12.75" customHeight="1" x14ac:dyDescent="0.3">
      <c r="A530" s="1" t="s">
        <v>1773</v>
      </c>
      <c r="B530" s="1" t="s">
        <v>268</v>
      </c>
      <c r="C530" s="1" t="s">
        <v>1774</v>
      </c>
      <c r="D530" s="6">
        <v>1232</v>
      </c>
      <c r="E530" s="1" t="s">
        <v>158</v>
      </c>
      <c r="F530" s="2" t="str">
        <f>HYPERLINK("https://www.sciencedirect.com/journal/digital-chemical-engineering")</f>
        <v>https://www.sciencedirect.com/journal/digital-chemical-engineering</v>
      </c>
      <c r="G530" s="1" t="s">
        <v>1775</v>
      </c>
    </row>
    <row r="531" spans="1:7" ht="12.75" customHeight="1" x14ac:dyDescent="0.3">
      <c r="A531" s="1" t="s">
        <v>1776</v>
      </c>
      <c r="B531" s="1" t="s">
        <v>1777</v>
      </c>
      <c r="C531" s="1" t="s">
        <v>1778</v>
      </c>
      <c r="D531" s="6">
        <v>1488</v>
      </c>
      <c r="E531" s="1" t="s">
        <v>156</v>
      </c>
      <c r="F531" s="2" t="str">
        <f>HYPERLINK("https://www.sciencedirect.com/journal/neuroscience-informatics")</f>
        <v>https://www.sciencedirect.com/journal/neuroscience-informatics</v>
      </c>
      <c r="G531" s="1" t="s">
        <v>1779</v>
      </c>
    </row>
    <row r="532" spans="1:7" ht="12.75" customHeight="1" x14ac:dyDescent="0.3">
      <c r="A532" s="1" t="s">
        <v>1780</v>
      </c>
      <c r="B532" s="1" t="s">
        <v>1781</v>
      </c>
      <c r="C532" s="1" t="s">
        <v>1782</v>
      </c>
      <c r="D532" s="6">
        <v>1456</v>
      </c>
      <c r="E532" s="1" t="s">
        <v>158</v>
      </c>
      <c r="F532" s="2" t="str">
        <f>HYPERLINK("https://www.sciencedirect.com/journal/brain-and-spine")</f>
        <v>https://www.sciencedirect.com/journal/brain-and-spine</v>
      </c>
      <c r="G532" s="1" t="s">
        <v>1783</v>
      </c>
    </row>
    <row r="533" spans="1:7" ht="12.75" customHeight="1" x14ac:dyDescent="0.3">
      <c r="A533" s="1" t="s">
        <v>1784</v>
      </c>
      <c r="B533" s="1" t="s">
        <v>410</v>
      </c>
      <c r="C533" s="1" t="s">
        <v>1785</v>
      </c>
      <c r="D533" s="6">
        <v>1624</v>
      </c>
      <c r="E533" s="1" t="s">
        <v>156</v>
      </c>
      <c r="F533" s="2" t="str">
        <f>HYPERLINK("https://www.sciencedirect.com/journal/dentistry-review")</f>
        <v>https://www.sciencedirect.com/journal/dentistry-review</v>
      </c>
      <c r="G533" s="1" t="s">
        <v>1786</v>
      </c>
    </row>
    <row r="534" spans="1:7" ht="12.75" customHeight="1" x14ac:dyDescent="0.3">
      <c r="A534" s="1" t="s">
        <v>1787</v>
      </c>
      <c r="B534" s="1" t="s">
        <v>164</v>
      </c>
      <c r="C534" s="1" t="s">
        <v>1788</v>
      </c>
      <c r="D534" s="6">
        <v>1392</v>
      </c>
      <c r="E534" s="1" t="s">
        <v>156</v>
      </c>
      <c r="F534" s="2" t="str">
        <f>HYPERLINK("https://www.sciencedirect.com/journal/green-analytical-chemistry")</f>
        <v>https://www.sciencedirect.com/journal/green-analytical-chemistry</v>
      </c>
      <c r="G534" s="1" t="s">
        <v>1789</v>
      </c>
    </row>
    <row r="535" spans="1:7" ht="12.75" customHeight="1" x14ac:dyDescent="0.3">
      <c r="A535" s="1" t="s">
        <v>1790</v>
      </c>
      <c r="B535" s="1" t="s">
        <v>164</v>
      </c>
      <c r="C535" s="1" t="s">
        <v>1791</v>
      </c>
      <c r="D535" s="6">
        <v>1448</v>
      </c>
      <c r="E535" s="1" t="s">
        <v>156</v>
      </c>
      <c r="F535" s="2" t="str">
        <f>HYPERLINK("https://www.sciencedirect.com/journal/advances-in-sample-preparation")</f>
        <v>https://www.sciencedirect.com/journal/advances-in-sample-preparation</v>
      </c>
      <c r="G535" s="1" t="s">
        <v>1792</v>
      </c>
    </row>
    <row r="536" spans="1:7" ht="12.75" customHeight="1" x14ac:dyDescent="0.3">
      <c r="A536" s="1" t="s">
        <v>1793</v>
      </c>
      <c r="B536" s="1" t="s">
        <v>1794</v>
      </c>
      <c r="C536" s="1" t="s">
        <v>1795</v>
      </c>
      <c r="D536" s="6">
        <v>664</v>
      </c>
      <c r="E536" s="1" t="s">
        <v>156</v>
      </c>
      <c r="F536" s="2" t="str">
        <f>HYPERLINK("https://www.sciencedirect.com/journal/science-talks")</f>
        <v>https://www.sciencedirect.com/journal/science-talks</v>
      </c>
      <c r="G536" s="1" t="s">
        <v>1796</v>
      </c>
    </row>
    <row r="537" spans="1:7" ht="12.75" customHeight="1" x14ac:dyDescent="0.3">
      <c r="A537" s="1" t="s">
        <v>1797</v>
      </c>
      <c r="B537" s="1" t="s">
        <v>222</v>
      </c>
      <c r="C537" s="1" t="s">
        <v>1798</v>
      </c>
      <c r="D537" s="6">
        <v>1496</v>
      </c>
      <c r="E537" s="1" t="s">
        <v>158</v>
      </c>
      <c r="F537" s="2" t="str">
        <f>HYPERLINK("https://www.sciencedirect.com/journal/gastro-hep-advances")</f>
        <v>https://www.sciencedirect.com/journal/gastro-hep-advances</v>
      </c>
      <c r="G537" s="1" t="s">
        <v>1799</v>
      </c>
    </row>
    <row r="538" spans="1:7" ht="12.75" customHeight="1" x14ac:dyDescent="0.3">
      <c r="A538" s="1" t="s">
        <v>1800</v>
      </c>
      <c r="B538" s="1" t="s">
        <v>222</v>
      </c>
      <c r="C538" s="1" t="s">
        <v>1801</v>
      </c>
      <c r="D538" s="6">
        <v>1904</v>
      </c>
      <c r="E538" s="1" t="s">
        <v>156</v>
      </c>
      <c r="F538" s="2" t="str">
        <f>HYPERLINK("https://www.sciencedirect.com/journal/psychiatry-research-communications")</f>
        <v>https://www.sciencedirect.com/journal/psychiatry-research-communications</v>
      </c>
      <c r="G538" s="1" t="s">
        <v>1802</v>
      </c>
    </row>
    <row r="539" spans="1:7" ht="12.75" customHeight="1" x14ac:dyDescent="0.3">
      <c r="A539" s="1" t="s">
        <v>1803</v>
      </c>
      <c r="B539" s="1" t="s">
        <v>248</v>
      </c>
      <c r="C539" s="1" t="s">
        <v>1804</v>
      </c>
      <c r="D539" s="6">
        <v>1344</v>
      </c>
      <c r="E539" s="1" t="s">
        <v>158</v>
      </c>
      <c r="F539" s="2" t="str">
        <f>HYPERLINK("https://www.sciencedirect.com/journal/multimodal-transportation")</f>
        <v>https://www.sciencedirect.com/journal/multimodal-transportation</v>
      </c>
      <c r="G539" s="1" t="s">
        <v>1805</v>
      </c>
    </row>
    <row r="540" spans="1:7" ht="12.75" customHeight="1" x14ac:dyDescent="0.3">
      <c r="A540" s="1" t="s">
        <v>1806</v>
      </c>
      <c r="B540" s="1" t="s">
        <v>222</v>
      </c>
      <c r="C540" s="1" t="s">
        <v>1807</v>
      </c>
      <c r="D540" s="6">
        <v>1752</v>
      </c>
      <c r="E540" s="1" t="s">
        <v>156</v>
      </c>
      <c r="F540" s="2" t="str">
        <f>HYPERLINK("https://www.sciencedirect.com/journal/ejc-paediatric-oncology")</f>
        <v>https://www.sciencedirect.com/journal/ejc-paediatric-oncology</v>
      </c>
      <c r="G540" s="1" t="s">
        <v>1808</v>
      </c>
    </row>
    <row r="541" spans="1:7" ht="12.75" customHeight="1" x14ac:dyDescent="0.3">
      <c r="A541" s="1" t="s">
        <v>1809</v>
      </c>
      <c r="B541" s="1" t="s">
        <v>1781</v>
      </c>
      <c r="C541" s="1" t="s">
        <v>1810</v>
      </c>
      <c r="D541" s="6">
        <v>1584</v>
      </c>
      <c r="E541" s="1" t="s">
        <v>156</v>
      </c>
      <c r="F541" s="2" t="str">
        <f>HYPERLINK("https://www.sciencedirect.com/journal/health-sciences-review")</f>
        <v>https://www.sciencedirect.com/journal/health-sciences-review</v>
      </c>
      <c r="G541" s="1" t="s">
        <v>1811</v>
      </c>
    </row>
    <row r="542" spans="1:7" ht="12.75" customHeight="1" x14ac:dyDescent="0.3">
      <c r="A542" s="1" t="s">
        <v>1812</v>
      </c>
      <c r="B542" s="1" t="s">
        <v>222</v>
      </c>
      <c r="C542" s="1" t="s">
        <v>1813</v>
      </c>
      <c r="D542" s="6">
        <v>1752</v>
      </c>
      <c r="E542" s="1" t="s">
        <v>156</v>
      </c>
      <c r="F542" s="2" t="str">
        <f>HYPERLINK("https://www.sciencedirect.com/journal/ejc-skin-cancer")</f>
        <v>https://www.sciencedirect.com/journal/ejc-skin-cancer</v>
      </c>
      <c r="G542" s="1" t="s">
        <v>1814</v>
      </c>
    </row>
    <row r="543" spans="1:7" ht="12.75" customHeight="1" x14ac:dyDescent="0.3">
      <c r="A543" s="1" t="s">
        <v>1815</v>
      </c>
      <c r="B543" s="1" t="s">
        <v>295</v>
      </c>
      <c r="C543" s="1" t="s">
        <v>1816</v>
      </c>
      <c r="D543" s="6">
        <v>1744</v>
      </c>
      <c r="E543" s="1" t="s">
        <v>156</v>
      </c>
      <c r="F543" s="2" t="str">
        <f>HYPERLINK("https://www.sciencedirect.com/journal/clinical-immunology-communications")</f>
        <v>https://www.sciencedirect.com/journal/clinical-immunology-communications</v>
      </c>
      <c r="G543" s="1" t="s">
        <v>1817</v>
      </c>
    </row>
    <row r="544" spans="1:7" ht="12.75" customHeight="1" x14ac:dyDescent="0.3">
      <c r="A544" s="1" t="s">
        <v>1818</v>
      </c>
      <c r="B544" s="1" t="s">
        <v>222</v>
      </c>
      <c r="C544" s="1" t="s">
        <v>1819</v>
      </c>
      <c r="D544" s="6">
        <v>1400</v>
      </c>
      <c r="E544" s="1" t="s">
        <v>158</v>
      </c>
      <c r="F544" s="2" t="str">
        <f>HYPERLINK("https://www.sciencedirect.com/journal/bja-open")</f>
        <v>https://www.sciencedirect.com/journal/bja-open</v>
      </c>
      <c r="G544" s="1" t="s">
        <v>1820</v>
      </c>
    </row>
    <row r="545" spans="1:7" ht="12.75" customHeight="1" x14ac:dyDescent="0.3">
      <c r="A545" s="1" t="s">
        <v>1821</v>
      </c>
      <c r="B545" s="1" t="s">
        <v>160</v>
      </c>
      <c r="C545" s="1" t="s">
        <v>1822</v>
      </c>
      <c r="D545" s="6">
        <v>1136</v>
      </c>
      <c r="E545" s="1" t="s">
        <v>156</v>
      </c>
      <c r="F545" s="2" t="str">
        <f>HYPERLINK("https://www.sciencedirect.com/journal/e-prime-advances-in-electrical-engineering-electronics-and-energy")</f>
        <v>https://www.sciencedirect.com/journal/e-prime-advances-in-electrical-engineering-electronics-and-energy</v>
      </c>
      <c r="G545" s="1" t="s">
        <v>1823</v>
      </c>
    </row>
    <row r="546" spans="1:7" ht="12.75" customHeight="1" x14ac:dyDescent="0.3">
      <c r="A546" s="1" t="s">
        <v>1824</v>
      </c>
      <c r="B546" s="1" t="s">
        <v>1825</v>
      </c>
      <c r="C546" s="1" t="s">
        <v>1826</v>
      </c>
      <c r="D546" s="6">
        <v>1608</v>
      </c>
      <c r="E546" s="1" t="s">
        <v>156</v>
      </c>
      <c r="F546" s="2" t="str">
        <f>HYPERLINK("https://www.sciencedirect.com/journal/decision-analytics-journal")</f>
        <v>https://www.sciencedirect.com/journal/decision-analytics-journal</v>
      </c>
      <c r="G546" s="1" t="s">
        <v>1827</v>
      </c>
    </row>
    <row r="547" spans="1:7" ht="12.75" customHeight="1" x14ac:dyDescent="0.3">
      <c r="A547" s="1" t="s">
        <v>1828</v>
      </c>
      <c r="B547" s="1" t="s">
        <v>166</v>
      </c>
      <c r="C547" s="1" t="s">
        <v>1829</v>
      </c>
      <c r="D547" s="6">
        <v>1336</v>
      </c>
      <c r="E547" s="1" t="s">
        <v>156</v>
      </c>
      <c r="F547" s="2" t="str">
        <f>HYPERLINK("https://www.sciencedirect.com/journal/world-development-sustainability")</f>
        <v>https://www.sciencedirect.com/journal/world-development-sustainability</v>
      </c>
      <c r="G547" s="1" t="s">
        <v>1830</v>
      </c>
    </row>
    <row r="548" spans="1:7" ht="12.75" customHeight="1" x14ac:dyDescent="0.3">
      <c r="A548" s="1" t="s">
        <v>1831</v>
      </c>
      <c r="B548" s="1" t="s">
        <v>343</v>
      </c>
      <c r="C548" s="1" t="s">
        <v>1832</v>
      </c>
      <c r="D548" s="6">
        <v>1496</v>
      </c>
      <c r="E548" s="1" t="s">
        <v>158</v>
      </c>
      <c r="F548" s="2" t="str">
        <f>HYPERLINK("https://www.sciencedirect.com/journal/carbon-capture-science-and-technology")</f>
        <v>https://www.sciencedirect.com/journal/carbon-capture-science-and-technology</v>
      </c>
      <c r="G548" s="1" t="s">
        <v>1833</v>
      </c>
    </row>
    <row r="549" spans="1:7" ht="12.75" customHeight="1" x14ac:dyDescent="0.3">
      <c r="A549" s="1" t="s">
        <v>1834</v>
      </c>
      <c r="B549" s="1" t="s">
        <v>222</v>
      </c>
      <c r="C549" s="1" t="s">
        <v>1835</v>
      </c>
      <c r="D549" s="6">
        <v>1056</v>
      </c>
      <c r="E549" s="1" t="s">
        <v>156</v>
      </c>
      <c r="F549" s="2" t="str">
        <f>HYPERLINK("https://www.sciencedirect.com/journal/dialogues-in-health")</f>
        <v>https://www.sciencedirect.com/journal/dialogues-in-health</v>
      </c>
      <c r="G549" s="1" t="s">
        <v>1836</v>
      </c>
    </row>
    <row r="550" spans="1:7" ht="12.75" customHeight="1" x14ac:dyDescent="0.3">
      <c r="A550" s="1" t="s">
        <v>1837</v>
      </c>
      <c r="B550" s="1" t="s">
        <v>222</v>
      </c>
      <c r="C550" s="1" t="s">
        <v>1838</v>
      </c>
      <c r="D550" s="6">
        <v>1144</v>
      </c>
      <c r="E550" s="1" t="s">
        <v>156</v>
      </c>
      <c r="F550" s="2" t="str">
        <f>HYPERLINK("https://www.sciencedirect.com/journal/annals-of-vascular-surgery-brief-reports-and-innovations")</f>
        <v>https://www.sciencedirect.com/journal/annals-of-vascular-surgery-brief-reports-and-innovations</v>
      </c>
      <c r="G550" s="1" t="s">
        <v>1839</v>
      </c>
    </row>
    <row r="551" spans="1:7" ht="12.75" customHeight="1" x14ac:dyDescent="0.3">
      <c r="A551" s="1" t="s">
        <v>1840</v>
      </c>
      <c r="B551" s="1" t="s">
        <v>222</v>
      </c>
      <c r="C551" s="1" t="s">
        <v>1841</v>
      </c>
      <c r="D551" s="6">
        <v>1120</v>
      </c>
      <c r="E551" s="1" t="s">
        <v>158</v>
      </c>
      <c r="F551" s="2" t="str">
        <f>HYPERLINK("https://www.sciencedirect.com/journal/research-in-diagnostic-and-interventional-imaging")</f>
        <v>https://www.sciencedirect.com/journal/research-in-diagnostic-and-interventional-imaging</v>
      </c>
      <c r="G551" s="1" t="s">
        <v>1842</v>
      </c>
    </row>
    <row r="552" spans="1:7" ht="12.75" customHeight="1" x14ac:dyDescent="0.3">
      <c r="A552" s="1" t="s">
        <v>1843</v>
      </c>
      <c r="B552" s="1" t="s">
        <v>1781</v>
      </c>
      <c r="C552" s="1" t="s">
        <v>1844</v>
      </c>
      <c r="D552" s="6">
        <v>1608</v>
      </c>
      <c r="E552" s="1" t="s">
        <v>156</v>
      </c>
      <c r="F552" s="2" t="str">
        <f>HYPERLINK("https://www.sciencedirect.com/journal/pec-innovation")</f>
        <v>https://www.sciencedirect.com/journal/pec-innovation</v>
      </c>
      <c r="G552" s="1" t="s">
        <v>1845</v>
      </c>
    </row>
    <row r="553" spans="1:7" ht="12.75" customHeight="1" x14ac:dyDescent="0.3">
      <c r="A553" s="1" t="s">
        <v>1846</v>
      </c>
      <c r="B553" s="1" t="s">
        <v>222</v>
      </c>
      <c r="C553" s="1" t="s">
        <v>1847</v>
      </c>
      <c r="D553" s="6">
        <v>1048</v>
      </c>
      <c r="E553" s="1" t="s">
        <v>158</v>
      </c>
      <c r="F553" s="2" t="str">
        <f>HYPERLINK("https://www.sciencedirect.com/journal/osteoarthritis-imaging")</f>
        <v>https://www.sciencedirect.com/journal/osteoarthritis-imaging</v>
      </c>
      <c r="G553" s="1" t="s">
        <v>1848</v>
      </c>
    </row>
    <row r="554" spans="1:7" ht="12.75" customHeight="1" x14ac:dyDescent="0.3">
      <c r="A554" s="1" t="s">
        <v>1849</v>
      </c>
      <c r="B554" s="1" t="s">
        <v>229</v>
      </c>
      <c r="C554" s="1" t="s">
        <v>1850</v>
      </c>
      <c r="D554" s="6">
        <v>1456</v>
      </c>
      <c r="E554" s="1" t="s">
        <v>158</v>
      </c>
      <c r="F554" s="2" t="str">
        <f>HYPERLINK("https://www.sciencedirect.com/journal/jsams-plus")</f>
        <v>https://www.sciencedirect.com/journal/jsams-plus</v>
      </c>
      <c r="G554" s="1" t="s">
        <v>1851</v>
      </c>
    </row>
    <row r="555" spans="1:7" ht="12.75" customHeight="1" x14ac:dyDescent="0.3">
      <c r="A555" s="1" t="s">
        <v>1852</v>
      </c>
      <c r="B555" s="1" t="s">
        <v>168</v>
      </c>
      <c r="C555" s="1" t="s">
        <v>1853</v>
      </c>
      <c r="D555" s="6">
        <v>1144</v>
      </c>
      <c r="E555" s="1" t="s">
        <v>158</v>
      </c>
      <c r="F555" s="2" t="str">
        <f>HYPERLINK("https://www.sciencedirect.com/journal/animal-open-space")</f>
        <v>https://www.sciencedirect.com/journal/animal-open-space</v>
      </c>
      <c r="G555" s="1" t="s">
        <v>1854</v>
      </c>
    </row>
    <row r="556" spans="1:7" ht="12.75" customHeight="1" x14ac:dyDescent="0.3">
      <c r="A556" s="1" t="s">
        <v>1855</v>
      </c>
      <c r="B556" s="1" t="s">
        <v>222</v>
      </c>
      <c r="C556" s="1" t="s">
        <v>1856</v>
      </c>
      <c r="D556" s="6">
        <v>1032</v>
      </c>
      <c r="E556" s="1" t="s">
        <v>158</v>
      </c>
      <c r="F556" s="2" t="str">
        <f>HYPERLINK("https://www.sciencedirect.com/journal/ijid-regions")</f>
        <v>https://www.sciencedirect.com/journal/ijid-regions</v>
      </c>
      <c r="G556" s="1" t="s">
        <v>1857</v>
      </c>
    </row>
    <row r="557" spans="1:7" ht="12.75" customHeight="1" x14ac:dyDescent="0.3">
      <c r="A557" s="1" t="s">
        <v>1858</v>
      </c>
      <c r="B557" s="1" t="s">
        <v>222</v>
      </c>
      <c r="C557" s="1" t="s">
        <v>1859</v>
      </c>
      <c r="D557" s="6">
        <v>1672</v>
      </c>
      <c r="E557" s="1" t="s">
        <v>156</v>
      </c>
      <c r="F557" s="2" t="str">
        <f>HYPERLINK("https://www.sciencedirect.com/journal/drug-and-alcohol-dependence-reports")</f>
        <v>https://www.sciencedirect.com/journal/drug-and-alcohol-dependence-reports</v>
      </c>
      <c r="G557" s="1" t="s">
        <v>1860</v>
      </c>
    </row>
    <row r="558" spans="1:7" ht="12.75" customHeight="1" x14ac:dyDescent="0.3">
      <c r="A558" s="1" t="s">
        <v>1861</v>
      </c>
      <c r="B558" s="1" t="s">
        <v>309</v>
      </c>
      <c r="C558" s="1" t="s">
        <v>1862</v>
      </c>
      <c r="D558" s="6">
        <v>1168</v>
      </c>
      <c r="E558" s="1" t="s">
        <v>158</v>
      </c>
      <c r="F558" s="2" t="str">
        <f>HYPERLINK("https://www.sciencedirect.com/journal/journal-of-creativity")</f>
        <v>https://www.sciencedirect.com/journal/journal-of-creativity</v>
      </c>
      <c r="G558" s="1" t="s">
        <v>1863</v>
      </c>
    </row>
    <row r="559" spans="1:7" ht="12.75" customHeight="1" x14ac:dyDescent="0.3">
      <c r="A559" s="1" t="s">
        <v>1864</v>
      </c>
      <c r="B559" s="1" t="s">
        <v>222</v>
      </c>
      <c r="C559" s="1" t="s">
        <v>1865</v>
      </c>
      <c r="D559" s="6">
        <v>1496</v>
      </c>
      <c r="E559" s="1" t="s">
        <v>158</v>
      </c>
      <c r="F559" s="2" t="str">
        <f>HYPERLINK("https://www.sciencedirect.com/journal/journal-of-isakos")</f>
        <v>https://www.sciencedirect.com/journal/journal-of-isakos</v>
      </c>
      <c r="G559" s="1" t="s">
        <v>1866</v>
      </c>
    </row>
    <row r="560" spans="1:7" ht="12.75" customHeight="1" x14ac:dyDescent="0.3">
      <c r="A560" s="1" t="s">
        <v>1867</v>
      </c>
      <c r="B560" s="1" t="s">
        <v>215</v>
      </c>
      <c r="C560" s="1" t="s">
        <v>1868</v>
      </c>
      <c r="D560" s="6">
        <v>1792</v>
      </c>
      <c r="E560" s="1" t="s">
        <v>156</v>
      </c>
      <c r="F560" s="2" t="str">
        <f>HYPERLINK("https://www.sciencedirect.com/journal/food-chemistry-advances")</f>
        <v>https://www.sciencedirect.com/journal/food-chemistry-advances</v>
      </c>
      <c r="G560" s="1" t="s">
        <v>1869</v>
      </c>
    </row>
    <row r="561" spans="1:7" ht="12.75" customHeight="1" x14ac:dyDescent="0.3">
      <c r="A561" s="1" t="s">
        <v>1870</v>
      </c>
      <c r="B561" s="1" t="s">
        <v>193</v>
      </c>
      <c r="C561" s="1" t="s">
        <v>1871</v>
      </c>
      <c r="D561" s="6">
        <v>1552</v>
      </c>
      <c r="E561" s="1" t="s">
        <v>158</v>
      </c>
      <c r="F561" s="2" t="str">
        <f>HYPERLINK("https://www.sciencedirect.com/journal/slas-technology")</f>
        <v>https://www.sciencedirect.com/journal/slas-technology</v>
      </c>
      <c r="G561" s="1" t="s">
        <v>1872</v>
      </c>
    </row>
    <row r="562" spans="1:7" ht="12.75" customHeight="1" x14ac:dyDescent="0.3">
      <c r="A562" s="1" t="s">
        <v>1873</v>
      </c>
      <c r="B562" s="1" t="s">
        <v>1874</v>
      </c>
      <c r="C562" s="1" t="s">
        <v>1875</v>
      </c>
      <c r="D562" s="6">
        <v>1552</v>
      </c>
      <c r="E562" s="1" t="s">
        <v>158</v>
      </c>
      <c r="F562" s="2" t="str">
        <f>HYPERLINK("https://www.sciencedirect.com/journal/slas-discovery")</f>
        <v>https://www.sciencedirect.com/journal/slas-discovery</v>
      </c>
      <c r="G562" s="1" t="s">
        <v>1876</v>
      </c>
    </row>
    <row r="563" spans="1:7" ht="12.75" customHeight="1" x14ac:dyDescent="0.3">
      <c r="A563" s="1" t="s">
        <v>1877</v>
      </c>
      <c r="B563" s="1" t="s">
        <v>222</v>
      </c>
      <c r="C563" s="1" t="s">
        <v>1878</v>
      </c>
      <c r="D563" s="6">
        <v>1496</v>
      </c>
      <c r="E563" s="1" t="s">
        <v>158</v>
      </c>
      <c r="F563" s="2" t="str">
        <f>HYPERLINK("https://www.sciencedirect.com/journal/journal-of-allergy-and-clinical-immunology-global")</f>
        <v>https://www.sciencedirect.com/journal/journal-of-allergy-and-clinical-immunology-global</v>
      </c>
      <c r="G563" s="1" t="s">
        <v>1879</v>
      </c>
    </row>
    <row r="564" spans="1:7" ht="12.75" customHeight="1" x14ac:dyDescent="0.3">
      <c r="A564" s="1" t="s">
        <v>1880</v>
      </c>
      <c r="B564" s="1" t="s">
        <v>1881</v>
      </c>
      <c r="C564" s="1" t="s">
        <v>1882</v>
      </c>
      <c r="D564" s="6">
        <v>1136</v>
      </c>
      <c r="E564" s="1" t="s">
        <v>156</v>
      </c>
      <c r="F564" s="2" t="str">
        <f>HYPERLINK("https://www.sciencedirect.com/journal/cleaner-and-circular-bioeconomy")</f>
        <v>https://www.sciencedirect.com/journal/cleaner-and-circular-bioeconomy</v>
      </c>
      <c r="G564" s="1" t="s">
        <v>1883</v>
      </c>
    </row>
    <row r="565" spans="1:7" ht="12.75" customHeight="1" x14ac:dyDescent="0.3">
      <c r="A565" s="1" t="s">
        <v>1884</v>
      </c>
      <c r="B565" s="1" t="s">
        <v>228</v>
      </c>
      <c r="C565" s="1" t="s">
        <v>1885</v>
      </c>
      <c r="D565" s="6">
        <v>992</v>
      </c>
      <c r="E565" s="1" t="s">
        <v>156</v>
      </c>
      <c r="F565" s="2" t="str">
        <f>HYPERLINK("https://www.sciencedirect.com/journal/cleaner-chemical-engineering")</f>
        <v>https://www.sciencedirect.com/journal/cleaner-chemical-engineering</v>
      </c>
      <c r="G565" s="1" t="s">
        <v>1886</v>
      </c>
    </row>
    <row r="566" spans="1:7" ht="12.75" customHeight="1" x14ac:dyDescent="0.3">
      <c r="A566" s="1" t="s">
        <v>1887</v>
      </c>
      <c r="B566" s="1" t="s">
        <v>208</v>
      </c>
      <c r="C566" s="1" t="s">
        <v>1888</v>
      </c>
      <c r="D566" s="6">
        <v>1136</v>
      </c>
      <c r="E566" s="1" t="s">
        <v>156</v>
      </c>
      <c r="F566" s="2" t="str">
        <f>HYPERLINK("https://www.sciencedirect.com/journal/cleaner-energy-systems")</f>
        <v>https://www.sciencedirect.com/journal/cleaner-energy-systems</v>
      </c>
      <c r="G566" s="1" t="s">
        <v>1889</v>
      </c>
    </row>
    <row r="567" spans="1:7" ht="12.75" customHeight="1" x14ac:dyDescent="0.3">
      <c r="A567" s="1" t="s">
        <v>1890</v>
      </c>
      <c r="B567" s="1" t="s">
        <v>1781</v>
      </c>
      <c r="C567" s="1" t="s">
        <v>1891</v>
      </c>
      <c r="D567" s="6">
        <v>1568</v>
      </c>
      <c r="E567" s="1" t="s">
        <v>158</v>
      </c>
      <c r="F567" s="2" t="str">
        <f>HYPERLINK("https://www.sciencedirect.com/journal/cjc-pediatric-and-congenital-heart-disease")</f>
        <v>https://www.sciencedirect.com/journal/cjc-pediatric-and-congenital-heart-disease</v>
      </c>
      <c r="G567" s="1" t="s">
        <v>1892</v>
      </c>
    </row>
    <row r="568" spans="1:7" ht="12.75" customHeight="1" x14ac:dyDescent="0.3">
      <c r="A568" s="1" t="s">
        <v>1893</v>
      </c>
      <c r="B568" s="1" t="s">
        <v>755</v>
      </c>
      <c r="C568" s="1" t="s">
        <v>1894</v>
      </c>
      <c r="D568" s="6">
        <v>1584</v>
      </c>
      <c r="E568" s="1" t="s">
        <v>156</v>
      </c>
      <c r="F568" s="2" t="str">
        <f>HYPERLINK("https://www.sciencedirect.com/journal/emerging-animal-species")</f>
        <v>https://www.sciencedirect.com/journal/emerging-animal-species</v>
      </c>
      <c r="G568" s="1" t="s">
        <v>1895</v>
      </c>
    </row>
    <row r="569" spans="1:7" ht="12.75" customHeight="1" x14ac:dyDescent="0.3">
      <c r="A569" s="1" t="s">
        <v>1896</v>
      </c>
      <c r="B569" s="1" t="s">
        <v>164</v>
      </c>
      <c r="C569" s="1" t="s">
        <v>1897</v>
      </c>
      <c r="D569" s="6">
        <v>1448</v>
      </c>
      <c r="E569" s="1" t="s">
        <v>156</v>
      </c>
      <c r="F569" s="2" t="str">
        <f>HYPERLINK("https://www.sciencedirect.com/journal/sustainable-chemistry-for-climate-action")</f>
        <v>https://www.sciencedirect.com/journal/sustainable-chemistry-for-climate-action</v>
      </c>
      <c r="G569" s="1" t="s">
        <v>1898</v>
      </c>
    </row>
    <row r="570" spans="1:7" ht="12.75" customHeight="1" x14ac:dyDescent="0.3">
      <c r="A570" s="1" t="s">
        <v>1899</v>
      </c>
      <c r="B570" s="1" t="s">
        <v>222</v>
      </c>
      <c r="C570" s="1" t="s">
        <v>1900</v>
      </c>
      <c r="D570" s="6">
        <v>728</v>
      </c>
      <c r="E570" s="1" t="s">
        <v>158</v>
      </c>
      <c r="F570" s="2" t="str">
        <f>HYPERLINK("https://www.sciencedirect.com/journal/annals-of-thoracic-surgery-short-reports")</f>
        <v>https://www.sciencedirect.com/journal/annals-of-thoracic-surgery-short-reports</v>
      </c>
      <c r="G570" s="1" t="s">
        <v>1901</v>
      </c>
    </row>
    <row r="571" spans="1:7" ht="12.75" customHeight="1" x14ac:dyDescent="0.3">
      <c r="A571" s="1" t="s">
        <v>1902</v>
      </c>
      <c r="B571" s="1" t="s">
        <v>205</v>
      </c>
      <c r="C571" s="1" t="s">
        <v>1903</v>
      </c>
      <c r="D571" s="6">
        <v>1456</v>
      </c>
      <c r="E571" s="1" t="s">
        <v>156</v>
      </c>
      <c r="F571" s="2" t="str">
        <f>HYPERLINK("https://www.sciencedirect.com/journal/journal-of-computational-algebra")</f>
        <v>https://www.sciencedirect.com/journal/journal-of-computational-algebra</v>
      </c>
      <c r="G571" s="1" t="s">
        <v>1904</v>
      </c>
    </row>
    <row r="572" spans="1:7" ht="12.75" customHeight="1" x14ac:dyDescent="0.3">
      <c r="A572" s="1" t="s">
        <v>1905</v>
      </c>
      <c r="B572" s="1" t="s">
        <v>222</v>
      </c>
      <c r="C572" s="1" t="s">
        <v>1906</v>
      </c>
      <c r="D572" s="6">
        <v>1456</v>
      </c>
      <c r="E572" s="1" t="s">
        <v>158</v>
      </c>
      <c r="F572" s="2" t="str">
        <f>HYPERLINK("https://www.sciencedirect.com/journal/academic-pathology")</f>
        <v>https://www.sciencedirect.com/journal/academic-pathology</v>
      </c>
      <c r="G572" s="1" t="s">
        <v>1907</v>
      </c>
    </row>
    <row r="573" spans="1:7" ht="12.75" customHeight="1" x14ac:dyDescent="0.3">
      <c r="A573" s="1" t="s">
        <v>1908</v>
      </c>
      <c r="B573" s="1" t="s">
        <v>190</v>
      </c>
      <c r="C573" s="1" t="s">
        <v>1909</v>
      </c>
      <c r="D573" s="6">
        <v>1568</v>
      </c>
      <c r="E573" s="1" t="s">
        <v>158</v>
      </c>
      <c r="F573" s="2" t="str">
        <f>HYPERLINK("https://www.sciencedirect.com/journal/superconductivity")</f>
        <v>https://www.sciencedirect.com/journal/superconductivity</v>
      </c>
      <c r="G573" s="1" t="s">
        <v>1910</v>
      </c>
    </row>
    <row r="574" spans="1:7" ht="12.75" customHeight="1" x14ac:dyDescent="0.3">
      <c r="A574" s="1" t="s">
        <v>1911</v>
      </c>
      <c r="B574" s="1" t="s">
        <v>198</v>
      </c>
      <c r="C574" s="1" t="s">
        <v>1912</v>
      </c>
      <c r="D574" s="6">
        <v>1000</v>
      </c>
      <c r="E574" s="1" t="s">
        <v>156</v>
      </c>
      <c r="F574" s="2" t="str">
        <f>HYPERLINK("https://www.sciencedirect.com/journal/fundamental-plasma-physics")</f>
        <v>https://www.sciencedirect.com/journal/fundamental-plasma-physics</v>
      </c>
      <c r="G574" s="1" t="s">
        <v>1913</v>
      </c>
    </row>
    <row r="575" spans="1:7" ht="12.75" customHeight="1" x14ac:dyDescent="0.3">
      <c r="A575" s="1" t="s">
        <v>1914</v>
      </c>
      <c r="B575" s="1" t="s">
        <v>222</v>
      </c>
      <c r="C575" s="1" t="s">
        <v>1915</v>
      </c>
      <c r="D575" s="6">
        <v>1800</v>
      </c>
      <c r="E575" s="1" t="s">
        <v>158</v>
      </c>
      <c r="F575" s="2" t="str">
        <f>HYPERLINK("https://www.sciencedirect.com/journal/obesity-pillars")</f>
        <v>https://www.sciencedirect.com/journal/obesity-pillars</v>
      </c>
      <c r="G575" s="1" t="s">
        <v>1916</v>
      </c>
    </row>
    <row r="576" spans="1:7" ht="12.75" customHeight="1" x14ac:dyDescent="0.3">
      <c r="A576" s="1" t="s">
        <v>1917</v>
      </c>
      <c r="B576" s="1" t="s">
        <v>241</v>
      </c>
      <c r="C576" s="1" t="s">
        <v>1918</v>
      </c>
      <c r="D576" s="6">
        <v>1856</v>
      </c>
      <c r="E576" s="1" t="s">
        <v>158</v>
      </c>
      <c r="F576" s="2" t="str">
        <f>HYPERLINK("https://www.sciencedirect.com/journal/asia-pacific-journal-of-oncology-nursing")</f>
        <v>https://www.sciencedirect.com/journal/asia-pacific-journal-of-oncology-nursing</v>
      </c>
      <c r="G576" s="1" t="s">
        <v>1919</v>
      </c>
    </row>
    <row r="577" spans="1:7" ht="12.75" customHeight="1" x14ac:dyDescent="0.3">
      <c r="A577" s="1" t="s">
        <v>1920</v>
      </c>
      <c r="B577" s="1" t="s">
        <v>222</v>
      </c>
      <c r="C577" s="1" t="s">
        <v>1921</v>
      </c>
      <c r="D577" s="6">
        <v>600</v>
      </c>
      <c r="E577" s="1" t="s">
        <v>158</v>
      </c>
      <c r="F577" s="2" t="str">
        <f>HYPERLINK("https://www.sciencedirect.com/journal/jos-case-reports")</f>
        <v>https://www.sciencedirect.com/journal/jos-case-reports</v>
      </c>
      <c r="G577" s="1" t="s">
        <v>1922</v>
      </c>
    </row>
    <row r="578" spans="1:7" ht="12.75" customHeight="1" x14ac:dyDescent="0.3">
      <c r="A578" s="1" t="s">
        <v>1923</v>
      </c>
      <c r="B578" s="1" t="s">
        <v>222</v>
      </c>
      <c r="C578" s="1" t="s">
        <v>1924</v>
      </c>
      <c r="D578" s="6">
        <v>1672</v>
      </c>
      <c r="E578" s="1" t="s">
        <v>156</v>
      </c>
      <c r="F578" s="2" t="str">
        <f>HYPERLINK("https://www.sciencedirect.com/journal/oral-oncology-reports")</f>
        <v>https://www.sciencedirect.com/journal/oral-oncology-reports</v>
      </c>
      <c r="G578" s="1" t="s">
        <v>1925</v>
      </c>
    </row>
    <row r="579" spans="1:7" ht="12.75" customHeight="1" x14ac:dyDescent="0.3">
      <c r="A579" s="1" t="s">
        <v>1926</v>
      </c>
      <c r="B579" s="1" t="s">
        <v>210</v>
      </c>
      <c r="C579" s="1" t="s">
        <v>1927</v>
      </c>
      <c r="D579" s="6">
        <v>2144</v>
      </c>
      <c r="E579" s="1" t="s">
        <v>156</v>
      </c>
      <c r="F579" s="2" t="str">
        <f>HYPERLINK("https://www.sciencedirect.com/journal/materials-today-electronics")</f>
        <v>https://www.sciencedirect.com/journal/materials-today-electronics</v>
      </c>
      <c r="G579" s="1" t="s">
        <v>1928</v>
      </c>
    </row>
    <row r="580" spans="1:7" ht="12.75" customHeight="1" x14ac:dyDescent="0.3">
      <c r="A580" s="1" t="s">
        <v>1929</v>
      </c>
      <c r="B580" s="1" t="s">
        <v>222</v>
      </c>
      <c r="C580" s="1" t="s">
        <v>1930</v>
      </c>
      <c r="D580" s="6">
        <v>1800</v>
      </c>
      <c r="E580" s="1" t="s">
        <v>158</v>
      </c>
      <c r="F580" s="2" t="str">
        <f>HYPERLINK("https://www.sciencedirect.com/journal/journal-of-the-society-for-cardiovascular-angiography-and-interventions")</f>
        <v>https://www.sciencedirect.com/journal/journal-of-the-society-for-cardiovascular-angiography-and-interventions</v>
      </c>
      <c r="G580" s="1" t="s">
        <v>1931</v>
      </c>
    </row>
    <row r="581" spans="1:7" ht="12.75" customHeight="1" x14ac:dyDescent="0.3">
      <c r="A581" s="1" t="s">
        <v>1932</v>
      </c>
      <c r="B581" s="1" t="s">
        <v>185</v>
      </c>
      <c r="C581" s="1" t="s">
        <v>1933</v>
      </c>
      <c r="D581" s="6">
        <v>1288</v>
      </c>
      <c r="E581" s="1" t="s">
        <v>156</v>
      </c>
      <c r="F581" s="2" t="str">
        <f>HYPERLINK("https://www.sciencedirect.com/journal/cleaner-waste-systems")</f>
        <v>https://www.sciencedirect.com/journal/cleaner-waste-systems</v>
      </c>
      <c r="G581" s="1" t="s">
        <v>1934</v>
      </c>
    </row>
    <row r="582" spans="1:7" ht="12.75" customHeight="1" x14ac:dyDescent="0.3">
      <c r="A582" s="1" t="s">
        <v>1935</v>
      </c>
      <c r="B582" s="1" t="s">
        <v>179</v>
      </c>
      <c r="C582" s="1" t="s">
        <v>1936</v>
      </c>
      <c r="D582" s="6">
        <v>376</v>
      </c>
      <c r="E582" s="1" t="s">
        <v>158</v>
      </c>
      <c r="F582" s="2" t="str">
        <f>HYPERLINK("https://www.sciencedirect.com/journal/solar-compass")</f>
        <v>https://www.sciencedirect.com/journal/solar-compass</v>
      </c>
      <c r="G582" s="1" t="s">
        <v>1937</v>
      </c>
    </row>
    <row r="583" spans="1:7" ht="12.75" customHeight="1" x14ac:dyDescent="0.3">
      <c r="A583" s="1" t="s">
        <v>1938</v>
      </c>
      <c r="B583" s="1" t="s">
        <v>179</v>
      </c>
      <c r="C583" s="1" t="s">
        <v>1939</v>
      </c>
      <c r="D583" s="6">
        <v>1872</v>
      </c>
      <c r="E583" s="1" t="s">
        <v>158</v>
      </c>
      <c r="F583" s="2" t="str">
        <f>HYPERLINK("https://www.sciencedirect.com/journal/energy-reviews")</f>
        <v>https://www.sciencedirect.com/journal/energy-reviews</v>
      </c>
      <c r="G583" s="1" t="s">
        <v>1940</v>
      </c>
    </row>
    <row r="584" spans="1:7" ht="12.75" customHeight="1" x14ac:dyDescent="0.3">
      <c r="A584" s="1" t="s">
        <v>1941</v>
      </c>
      <c r="B584" s="1" t="s">
        <v>222</v>
      </c>
      <c r="C584" s="1" t="s">
        <v>1942</v>
      </c>
      <c r="D584" s="6">
        <v>2200</v>
      </c>
      <c r="E584" s="1" t="s">
        <v>158</v>
      </c>
      <c r="F584" s="2" t="str">
        <f>HYPERLINK("https://www.sciencedirect.com/journal/jacc-advances")</f>
        <v>https://www.sciencedirect.com/journal/jacc-advances</v>
      </c>
      <c r="G584" s="1" t="s">
        <v>1943</v>
      </c>
    </row>
    <row r="585" spans="1:7" ht="12.75" customHeight="1" x14ac:dyDescent="0.3">
      <c r="A585" s="1" t="s">
        <v>1944</v>
      </c>
      <c r="B585" s="1" t="s">
        <v>1781</v>
      </c>
      <c r="C585" s="1" t="s">
        <v>1945</v>
      </c>
      <c r="D585" s="6">
        <v>1344</v>
      </c>
      <c r="E585" s="1" t="s">
        <v>158</v>
      </c>
      <c r="F585" s="2" t="str">
        <f>HYPERLINK("https://www.sciencedirect.com/journal/continence")</f>
        <v>https://www.sciencedirect.com/journal/continence</v>
      </c>
      <c r="G585" s="1" t="s">
        <v>1946</v>
      </c>
    </row>
    <row r="586" spans="1:7" ht="12.75" customHeight="1" x14ac:dyDescent="0.3">
      <c r="A586" s="1" t="s">
        <v>1947</v>
      </c>
      <c r="B586" s="1" t="s">
        <v>1781</v>
      </c>
      <c r="C586" s="1" t="s">
        <v>1948</v>
      </c>
      <c r="D586" s="6">
        <v>672</v>
      </c>
      <c r="E586" s="1" t="s">
        <v>158</v>
      </c>
      <c r="F586" s="2" t="str">
        <f>HYPERLINK("https://www.sciencedirect.com/journal/continence-reports")</f>
        <v>https://www.sciencedirect.com/journal/continence-reports</v>
      </c>
      <c r="G586" s="1" t="s">
        <v>1949</v>
      </c>
    </row>
    <row r="587" spans="1:7" ht="12.75" customHeight="1" x14ac:dyDescent="0.3">
      <c r="A587" s="1" t="s">
        <v>1950</v>
      </c>
      <c r="B587" s="1" t="s">
        <v>222</v>
      </c>
      <c r="C587" s="1" t="s">
        <v>1951</v>
      </c>
      <c r="D587" s="6">
        <v>1808</v>
      </c>
      <c r="E587" s="1" t="s">
        <v>156</v>
      </c>
      <c r="F587" s="2" t="str">
        <f>HYPERLINK("https://www.sciencedirect.com/journal/journal-of-molecular-and-cellular-cardiology-plus")</f>
        <v>https://www.sciencedirect.com/journal/journal-of-molecular-and-cellular-cardiology-plus</v>
      </c>
      <c r="G587" s="1" t="s">
        <v>1952</v>
      </c>
    </row>
    <row r="588" spans="1:7" ht="12.75" customHeight="1" x14ac:dyDescent="0.3">
      <c r="A588" s="1" t="s">
        <v>1953</v>
      </c>
      <c r="B588" s="1" t="s">
        <v>280</v>
      </c>
      <c r="C588" s="1" t="s">
        <v>1954</v>
      </c>
      <c r="D588" s="6">
        <v>1504</v>
      </c>
      <c r="E588" s="1" t="s">
        <v>158</v>
      </c>
      <c r="F588" s="2" t="str">
        <f>HYPERLINK("https://www.sciencedirect.com/journal/sustainable-technology-and-entrepreneurship")</f>
        <v>https://www.sciencedirect.com/journal/sustainable-technology-and-entrepreneurship</v>
      </c>
      <c r="G588" s="1" t="s">
        <v>1955</v>
      </c>
    </row>
    <row r="589" spans="1:7" ht="12.75" customHeight="1" x14ac:dyDescent="0.3">
      <c r="A589" s="1" t="s">
        <v>1956</v>
      </c>
      <c r="B589" s="1" t="s">
        <v>222</v>
      </c>
      <c r="C589" s="1" t="s">
        <v>1957</v>
      </c>
      <c r="D589" s="6">
        <v>1272</v>
      </c>
      <c r="E589" s="1" t="s">
        <v>505</v>
      </c>
      <c r="F589" s="2" t="str">
        <f>HYPERLINK("https://www.sciencedirect.com/journal/clinics")</f>
        <v>https://www.sciencedirect.com/journal/clinics</v>
      </c>
      <c r="G589" s="1" t="s">
        <v>1958</v>
      </c>
    </row>
    <row r="590" spans="1:7" ht="12.75" customHeight="1" x14ac:dyDescent="0.3">
      <c r="A590" s="1" t="s">
        <v>1959</v>
      </c>
      <c r="B590" s="1" t="s">
        <v>222</v>
      </c>
      <c r="C590" s="1" t="s">
        <v>1960</v>
      </c>
      <c r="D590" s="6">
        <v>752</v>
      </c>
      <c r="E590" s="1" t="s">
        <v>156</v>
      </c>
      <c r="F590" s="2" t="str">
        <f>HYPERLINK("https://www.sciencedirect.com/journal/psychiatry-research-case-reports")</f>
        <v>https://www.sciencedirect.com/journal/psychiatry-research-case-reports</v>
      </c>
      <c r="G590" s="1" t="s">
        <v>1961</v>
      </c>
    </row>
    <row r="591" spans="1:7" ht="12.75" customHeight="1" x14ac:dyDescent="0.3">
      <c r="A591" s="1" t="s">
        <v>1962</v>
      </c>
      <c r="B591" s="1" t="s">
        <v>222</v>
      </c>
      <c r="C591" s="1" t="s">
        <v>1963</v>
      </c>
      <c r="D591" s="6">
        <v>1696</v>
      </c>
      <c r="E591" s="1" t="s">
        <v>158</v>
      </c>
      <c r="F591" s="2" t="str">
        <f>HYPERLINK("https://www.sciencedirect.com/journal/journal-of-pathology-informatics")</f>
        <v>https://www.sciencedirect.com/journal/journal-of-pathology-informatics</v>
      </c>
      <c r="G591" s="1" t="s">
        <v>1964</v>
      </c>
    </row>
    <row r="592" spans="1:7" ht="12.75" customHeight="1" x14ac:dyDescent="0.3">
      <c r="A592" s="1" t="s">
        <v>1965</v>
      </c>
      <c r="B592" s="1" t="s">
        <v>201</v>
      </c>
      <c r="C592" s="1" t="s">
        <v>1966</v>
      </c>
      <c r="D592" s="6">
        <v>1576</v>
      </c>
      <c r="E592" s="1" t="s">
        <v>156</v>
      </c>
      <c r="F592" s="2" t="str">
        <f>HYPERLINK("https://www.sciencedirect.com/journal/journal-of-public-transportation")</f>
        <v>https://www.sciencedirect.com/journal/journal-of-public-transportation</v>
      </c>
      <c r="G592" s="1" t="s">
        <v>1967</v>
      </c>
    </row>
    <row r="593" spans="1:7" ht="12.75" customHeight="1" x14ac:dyDescent="0.3">
      <c r="A593" s="1" t="s">
        <v>1968</v>
      </c>
      <c r="B593" s="1" t="s">
        <v>107</v>
      </c>
      <c r="C593" s="1" t="s">
        <v>1969</v>
      </c>
      <c r="D593" s="6">
        <v>2096</v>
      </c>
      <c r="E593" s="1" t="s">
        <v>158</v>
      </c>
      <c r="F593" s="2" t="str">
        <f>HYPERLINK("https://www.sciencedirect.com/journal/extracellular-vesicle")</f>
        <v>https://www.sciencedirect.com/journal/extracellular-vesicle</v>
      </c>
      <c r="G593" s="1" t="s">
        <v>1970</v>
      </c>
    </row>
    <row r="594" spans="1:7" ht="12.75" customHeight="1" x14ac:dyDescent="0.3">
      <c r="A594" s="1" t="s">
        <v>1971</v>
      </c>
      <c r="B594" s="1" t="s">
        <v>222</v>
      </c>
      <c r="C594" s="1" t="s">
        <v>1972</v>
      </c>
      <c r="D594" s="6">
        <v>1752</v>
      </c>
      <c r="E594" s="1" t="s">
        <v>158</v>
      </c>
      <c r="F594" s="2" t="str">
        <f>HYPERLINK("https://www.sciencedirect.com/journal/structural-heart")</f>
        <v>https://www.sciencedirect.com/journal/structural-heart</v>
      </c>
      <c r="G594" s="1" t="s">
        <v>1973</v>
      </c>
    </row>
    <row r="595" spans="1:7" ht="12.75" customHeight="1" x14ac:dyDescent="0.3">
      <c r="A595" s="1" t="s">
        <v>1974</v>
      </c>
      <c r="B595" s="1" t="s">
        <v>185</v>
      </c>
      <c r="C595" s="1" t="s">
        <v>1975</v>
      </c>
      <c r="D595" s="6">
        <v>1872</v>
      </c>
      <c r="E595" s="1" t="s">
        <v>156</v>
      </c>
      <c r="F595" s="2" t="str">
        <f>HYPERLINK("https://www.sciencedirect.com/journal/hygiene-and-environmental-health-advances")</f>
        <v>https://www.sciencedirect.com/journal/hygiene-and-environmental-health-advances</v>
      </c>
      <c r="G595" s="1" t="s">
        <v>1976</v>
      </c>
    </row>
    <row r="596" spans="1:7" ht="12.75" customHeight="1" x14ac:dyDescent="0.3">
      <c r="A596" s="1" t="s">
        <v>1977</v>
      </c>
      <c r="B596" s="1" t="s">
        <v>164</v>
      </c>
      <c r="C596" s="1" t="s">
        <v>1978</v>
      </c>
      <c r="D596" s="6">
        <v>1280</v>
      </c>
      <c r="E596" s="1" t="s">
        <v>158</v>
      </c>
      <c r="F596" s="2" t="str">
        <f>HYPERLINK("https://www.sciencedirect.com/journal/advanced-sensor-and-energy-materials")</f>
        <v>https://www.sciencedirect.com/journal/advanced-sensor-and-energy-materials</v>
      </c>
      <c r="G596" s="1" t="s">
        <v>1979</v>
      </c>
    </row>
    <row r="597" spans="1:7" ht="12.75" customHeight="1" x14ac:dyDescent="0.3">
      <c r="A597" s="1" t="s">
        <v>1980</v>
      </c>
      <c r="B597" s="1" t="s">
        <v>1981</v>
      </c>
      <c r="C597" s="1" t="s">
        <v>1982</v>
      </c>
      <c r="D597" s="6">
        <v>1432</v>
      </c>
      <c r="E597" s="1" t="s">
        <v>156</v>
      </c>
      <c r="F597" s="2" t="str">
        <f>HYPERLINK("https://www.sciencedirect.com/journal/journal-of-trace-elements-and-minerals")</f>
        <v>https://www.sciencedirect.com/journal/journal-of-trace-elements-and-minerals</v>
      </c>
      <c r="G597" s="1" t="s">
        <v>1983</v>
      </c>
    </row>
    <row r="598" spans="1:7" ht="12.75" customHeight="1" x14ac:dyDescent="0.3">
      <c r="A598" s="1" t="s">
        <v>1984</v>
      </c>
      <c r="B598" s="1" t="s">
        <v>222</v>
      </c>
      <c r="C598" s="1" t="s">
        <v>1985</v>
      </c>
      <c r="D598" s="6">
        <v>1080</v>
      </c>
      <c r="E598" s="1" t="s">
        <v>158</v>
      </c>
      <c r="F598" s="2" t="str">
        <f>HYPERLINK("https://www.sciencedirect.com/journal/the-royal-college-of-radiologists-open")</f>
        <v>https://www.sciencedirect.com/journal/the-royal-college-of-radiologists-open</v>
      </c>
      <c r="G598" s="1" t="s">
        <v>1986</v>
      </c>
    </row>
    <row r="599" spans="1:7" ht="12.75" customHeight="1" x14ac:dyDescent="0.3">
      <c r="A599" s="1" t="s">
        <v>1987</v>
      </c>
      <c r="B599" s="1" t="s">
        <v>234</v>
      </c>
      <c r="C599" s="1" t="s">
        <v>1988</v>
      </c>
      <c r="D599" s="6">
        <v>1712</v>
      </c>
      <c r="E599" s="1" t="s">
        <v>158</v>
      </c>
      <c r="F599" s="2" t="str">
        <f>HYPERLINK("https://www.sciencedirect.com/journal/ajpm-focus")</f>
        <v>https://www.sciencedirect.com/journal/ajpm-focus</v>
      </c>
      <c r="G599" s="1" t="s">
        <v>1989</v>
      </c>
    </row>
    <row r="600" spans="1:7" ht="12.75" customHeight="1" x14ac:dyDescent="0.3">
      <c r="A600" s="1" t="s">
        <v>1990</v>
      </c>
      <c r="B600" s="1" t="s">
        <v>211</v>
      </c>
      <c r="C600" s="1" t="s">
        <v>1991</v>
      </c>
      <c r="D600" s="6">
        <v>1488</v>
      </c>
      <c r="E600" s="1" t="s">
        <v>156</v>
      </c>
      <c r="F600" s="2" t="str">
        <f>HYPERLINK("https://www.sciencedirect.com/journal/memories-materials-devices-circuits-and-systems")</f>
        <v>https://www.sciencedirect.com/journal/memories-materials-devices-circuits-and-systems</v>
      </c>
      <c r="G600" s="1" t="s">
        <v>1992</v>
      </c>
    </row>
    <row r="601" spans="1:7" ht="12.75" customHeight="1" x14ac:dyDescent="0.3">
      <c r="A601" s="1" t="s">
        <v>1993</v>
      </c>
      <c r="B601" s="1" t="s">
        <v>168</v>
      </c>
      <c r="C601" s="1" t="s">
        <v>1994</v>
      </c>
      <c r="D601" s="6">
        <v>1808</v>
      </c>
      <c r="E601" s="1" t="s">
        <v>156</v>
      </c>
      <c r="F601" s="2" t="str">
        <f>HYPERLINK("https://www.sciencedirect.com/journal/journal-of-natural-pesticide-research")</f>
        <v>https://www.sciencedirect.com/journal/journal-of-natural-pesticide-research</v>
      </c>
      <c r="G601" s="1" t="s">
        <v>1995</v>
      </c>
    </row>
    <row r="602" spans="1:7" ht="12.75" customHeight="1" x14ac:dyDescent="0.3">
      <c r="A602" s="1" t="s">
        <v>1996</v>
      </c>
      <c r="B602" s="1" t="s">
        <v>1997</v>
      </c>
      <c r="C602" s="1" t="s">
        <v>1998</v>
      </c>
      <c r="D602" s="6">
        <v>1272</v>
      </c>
      <c r="E602" s="1" t="s">
        <v>158</v>
      </c>
      <c r="F602" s="2" t="str">
        <f>HYPERLINK("https://www.sciencedirect.com/journal/journal-of-neurorestoratology")</f>
        <v>https://www.sciencedirect.com/journal/journal-of-neurorestoratology</v>
      </c>
      <c r="G602" s="1" t="s">
        <v>1999</v>
      </c>
    </row>
    <row r="603" spans="1:7" ht="12.75" customHeight="1" x14ac:dyDescent="0.3">
      <c r="A603" s="1" t="s">
        <v>2000</v>
      </c>
      <c r="B603" s="1" t="s">
        <v>216</v>
      </c>
      <c r="C603" s="1" t="s">
        <v>2001</v>
      </c>
      <c r="D603" s="6">
        <v>1248</v>
      </c>
      <c r="E603" s="1" t="s">
        <v>156</v>
      </c>
      <c r="F603" s="2" t="str">
        <f>HYPERLINK("https://www.sciencedirect.com/journal/theriogenology-wild")</f>
        <v>https://www.sciencedirect.com/journal/theriogenology-wild</v>
      </c>
      <c r="G603" s="1" t="s">
        <v>2002</v>
      </c>
    </row>
    <row r="604" spans="1:7" ht="12.75" customHeight="1" x14ac:dyDescent="0.3">
      <c r="A604" s="1" t="s">
        <v>2003</v>
      </c>
      <c r="B604" s="1" t="s">
        <v>222</v>
      </c>
      <c r="C604" s="1" t="s">
        <v>2004</v>
      </c>
      <c r="D604" s="6">
        <v>1496</v>
      </c>
      <c r="E604" s="1" t="s">
        <v>158</v>
      </c>
      <c r="F604" s="2" t="str">
        <f>HYPERLINK("https://www.sciencedirect.com/journal/clinical-surgical-oncology")</f>
        <v>https://www.sciencedirect.com/journal/clinical-surgical-oncology</v>
      </c>
      <c r="G604" s="1" t="s">
        <v>2005</v>
      </c>
    </row>
    <row r="605" spans="1:7" ht="12.75" customHeight="1" x14ac:dyDescent="0.3">
      <c r="A605" s="1" t="s">
        <v>2006</v>
      </c>
      <c r="B605" s="1" t="s">
        <v>168</v>
      </c>
      <c r="C605" s="1" t="s">
        <v>2007</v>
      </c>
      <c r="D605" s="6">
        <v>1872</v>
      </c>
      <c r="E605" s="1" t="s">
        <v>156</v>
      </c>
      <c r="F605" s="2" t="str">
        <f>HYPERLINK("https://www.sciencedirect.com/journal/plant-nano-biology")</f>
        <v>https://www.sciencedirect.com/journal/plant-nano-biology</v>
      </c>
      <c r="G605" s="1" t="s">
        <v>2008</v>
      </c>
    </row>
    <row r="606" spans="1:7" ht="12.75" customHeight="1" x14ac:dyDescent="0.3">
      <c r="A606" s="1" t="s">
        <v>2009</v>
      </c>
      <c r="B606" s="1" t="s">
        <v>168</v>
      </c>
      <c r="C606" s="1" t="s">
        <v>2010</v>
      </c>
      <c r="D606" s="6">
        <v>1224</v>
      </c>
      <c r="E606" s="1" t="s">
        <v>156</v>
      </c>
      <c r="F606" s="2" t="str">
        <f>HYPERLINK("https://www.sciencedirect.com/journal/advances-in-bamboo-science")</f>
        <v>https://www.sciencedirect.com/journal/advances-in-bamboo-science</v>
      </c>
      <c r="G606" s="1" t="s">
        <v>2011</v>
      </c>
    </row>
    <row r="607" spans="1:7" ht="12.75" customHeight="1" x14ac:dyDescent="0.3">
      <c r="A607" s="1" t="s">
        <v>2012</v>
      </c>
      <c r="B607" s="1" t="s">
        <v>107</v>
      </c>
      <c r="C607" s="1" t="s">
        <v>2013</v>
      </c>
      <c r="D607" s="6">
        <v>1152</v>
      </c>
      <c r="E607" s="1" t="s">
        <v>156</v>
      </c>
      <c r="F607" s="2" t="str">
        <f>HYPERLINK("https://www.sciencedirect.com/journal/redox-biochemistry-and-chemistry")</f>
        <v>https://www.sciencedirect.com/journal/redox-biochemistry-and-chemistry</v>
      </c>
      <c r="G607" s="1" t="s">
        <v>2014</v>
      </c>
    </row>
    <row r="608" spans="1:7" ht="12.75" customHeight="1" x14ac:dyDescent="0.3">
      <c r="A608" s="1" t="s">
        <v>2015</v>
      </c>
      <c r="B608" s="1" t="s">
        <v>222</v>
      </c>
      <c r="C608" s="1" t="s">
        <v>2016</v>
      </c>
      <c r="D608" s="6">
        <v>448</v>
      </c>
      <c r="E608" s="1" t="s">
        <v>158</v>
      </c>
      <c r="F608" s="2" t="str">
        <f>HYPERLINK("https://www.sciencedirect.com/journal/journal-of-orthopaedic-reports")</f>
        <v>https://www.sciencedirect.com/journal/journal-of-orthopaedic-reports</v>
      </c>
      <c r="G608" s="1" t="s">
        <v>2017</v>
      </c>
    </row>
    <row r="609" spans="1:7" ht="12.75" customHeight="1" x14ac:dyDescent="0.3">
      <c r="A609" s="1" t="s">
        <v>2018</v>
      </c>
      <c r="B609" s="1" t="s">
        <v>309</v>
      </c>
      <c r="C609" s="1" t="s">
        <v>2019</v>
      </c>
      <c r="D609" s="6">
        <v>1272</v>
      </c>
      <c r="E609" s="1" t="s">
        <v>158</v>
      </c>
      <c r="F609" s="2" t="str">
        <f>HYPERLINK("https://www.sciencedirect.com/journal/social-and-emotional-learning-research-practice-and-policy")</f>
        <v>https://www.sciencedirect.com/journal/social-and-emotional-learning-research-practice-and-policy</v>
      </c>
      <c r="G609" s="1" t="s">
        <v>2020</v>
      </c>
    </row>
    <row r="610" spans="1:7" ht="12.75" customHeight="1" x14ac:dyDescent="0.3">
      <c r="A610" s="1" t="s">
        <v>2021</v>
      </c>
      <c r="B610" s="1" t="s">
        <v>160</v>
      </c>
      <c r="C610" s="1" t="s">
        <v>2022</v>
      </c>
      <c r="D610" s="6">
        <v>1424</v>
      </c>
      <c r="E610" s="1" t="s">
        <v>158</v>
      </c>
      <c r="F610" s="2" t="str">
        <f>HYPERLINK("https://www.sciencedirect.com/journal/franklin-open")</f>
        <v>https://www.sciencedirect.com/journal/franklin-open</v>
      </c>
      <c r="G610" s="1" t="s">
        <v>2023</v>
      </c>
    </row>
    <row r="611" spans="1:7" ht="12.75" customHeight="1" x14ac:dyDescent="0.3">
      <c r="A611" s="1" t="s">
        <v>2024</v>
      </c>
      <c r="B611" s="1" t="s">
        <v>222</v>
      </c>
      <c r="C611" s="1" t="s">
        <v>2025</v>
      </c>
      <c r="D611" s="6">
        <v>568</v>
      </c>
      <c r="E611" s="1" t="s">
        <v>156</v>
      </c>
      <c r="F611" s="2" t="str">
        <f>HYPERLINK("https://www.sciencedirect.com/journal/jem-reports")</f>
        <v>https://www.sciencedirect.com/journal/jem-reports</v>
      </c>
      <c r="G611" s="1" t="s">
        <v>2026</v>
      </c>
    </row>
    <row r="612" spans="1:7" ht="12.75" customHeight="1" x14ac:dyDescent="0.3">
      <c r="A612" s="1" t="s">
        <v>2027</v>
      </c>
      <c r="B612" s="1" t="s">
        <v>198</v>
      </c>
      <c r="C612" s="1" t="s">
        <v>2028</v>
      </c>
      <c r="D612" s="6">
        <v>1360</v>
      </c>
      <c r="E612" s="1" t="s">
        <v>156</v>
      </c>
      <c r="F612" s="2" t="str">
        <f>HYPERLINK("https://www.sciencedirect.com/journal/hybrid-advances")</f>
        <v>https://www.sciencedirect.com/journal/hybrid-advances</v>
      </c>
      <c r="G612" s="1" t="s">
        <v>2029</v>
      </c>
    </row>
    <row r="613" spans="1:7" ht="12.75" customHeight="1" x14ac:dyDescent="0.3">
      <c r="A613" s="1" t="s">
        <v>2030</v>
      </c>
      <c r="B613" s="1" t="s">
        <v>265</v>
      </c>
      <c r="C613" s="1" t="s">
        <v>2031</v>
      </c>
      <c r="D613" s="6">
        <v>1728</v>
      </c>
      <c r="E613" s="1" t="s">
        <v>156</v>
      </c>
      <c r="F613" s="2" t="str">
        <f>HYPERLINK("https://www.sciencedirect.com/journal/tetrahedron-green-chem")</f>
        <v>https://www.sciencedirect.com/journal/tetrahedron-green-chem</v>
      </c>
      <c r="G613" s="1" t="s">
        <v>2032</v>
      </c>
    </row>
    <row r="614" spans="1:7" ht="12.75" customHeight="1" x14ac:dyDescent="0.3">
      <c r="A614" s="1" t="s">
        <v>2033</v>
      </c>
      <c r="B614" s="1" t="s">
        <v>107</v>
      </c>
      <c r="C614" s="1" t="s">
        <v>2034</v>
      </c>
      <c r="D614" s="6">
        <v>2032</v>
      </c>
      <c r="E614" s="1" t="s">
        <v>156</v>
      </c>
      <c r="F614" s="2" t="str">
        <f>HYPERLINK("https://www.sciencedirect.com/journal/aspects-of-molecular-medicine")</f>
        <v>https://www.sciencedirect.com/journal/aspects-of-molecular-medicine</v>
      </c>
      <c r="G614" s="1" t="s">
        <v>2035</v>
      </c>
    </row>
    <row r="615" spans="1:7" ht="12.75" customHeight="1" x14ac:dyDescent="0.3">
      <c r="A615" s="1" t="s">
        <v>2036</v>
      </c>
      <c r="B615" s="1" t="s">
        <v>222</v>
      </c>
      <c r="C615" s="1" t="s">
        <v>2037</v>
      </c>
      <c r="D615" s="6">
        <v>1312</v>
      </c>
      <c r="E615" s="1" t="s">
        <v>158</v>
      </c>
      <c r="F615" s="2" t="str">
        <f>HYPERLINK("https://www.sciencedirect.com/journal/wfumb-ultrasound-open")</f>
        <v>https://www.sciencedirect.com/journal/wfumb-ultrasound-open</v>
      </c>
      <c r="G615" s="1" t="s">
        <v>2038</v>
      </c>
    </row>
    <row r="616" spans="1:7" ht="12.75" customHeight="1" x14ac:dyDescent="0.3">
      <c r="A616" s="1" t="s">
        <v>2039</v>
      </c>
      <c r="B616" s="1" t="s">
        <v>222</v>
      </c>
      <c r="C616" s="1" t="s">
        <v>2040</v>
      </c>
      <c r="D616" s="6">
        <v>1872</v>
      </c>
      <c r="E616" s="1" t="s">
        <v>158</v>
      </c>
      <c r="F616" s="2" t="str">
        <f>HYPERLINK("https://www.sciencedirect.com/journal/deep-brain-stimulation")</f>
        <v>https://www.sciencedirect.com/journal/deep-brain-stimulation</v>
      </c>
      <c r="G616" s="1" t="s">
        <v>2041</v>
      </c>
    </row>
    <row r="617" spans="1:7" ht="12.75" customHeight="1" x14ac:dyDescent="0.3">
      <c r="A617" s="1" t="s">
        <v>2042</v>
      </c>
      <c r="B617" s="1" t="s">
        <v>210</v>
      </c>
      <c r="C617" s="1" t="s">
        <v>2043</v>
      </c>
      <c r="D617" s="6">
        <v>1448</v>
      </c>
      <c r="E617" s="1" t="s">
        <v>156</v>
      </c>
      <c r="F617" s="2" t="str">
        <f>HYPERLINK("https://www.sciencedirect.com/journal/tomography-of-materials-and-structures")</f>
        <v>https://www.sciencedirect.com/journal/tomography-of-materials-and-structures</v>
      </c>
      <c r="G617" s="1" t="s">
        <v>2044</v>
      </c>
    </row>
    <row r="618" spans="1:7" ht="12.75" customHeight="1" x14ac:dyDescent="0.3">
      <c r="A618" s="1" t="s">
        <v>2045</v>
      </c>
      <c r="B618" s="1" t="s">
        <v>170</v>
      </c>
      <c r="C618" s="1" t="s">
        <v>2046</v>
      </c>
      <c r="D618" s="6">
        <v>1552</v>
      </c>
      <c r="E618" s="1" t="s">
        <v>156</v>
      </c>
      <c r="F618" s="2" t="str">
        <f>HYPERLINK("https://www.sciencedirect.com/journal/computers-and-education-x-reality")</f>
        <v>https://www.sciencedirect.com/journal/computers-and-education-x-reality</v>
      </c>
      <c r="G618" s="1" t="s">
        <v>2047</v>
      </c>
    </row>
    <row r="619" spans="1:7" ht="12.75" customHeight="1" x14ac:dyDescent="0.3">
      <c r="A619" s="1" t="s">
        <v>2048</v>
      </c>
      <c r="B619" s="1" t="s">
        <v>2049</v>
      </c>
      <c r="C619" s="1" t="s">
        <v>2050</v>
      </c>
      <c r="D619" s="6">
        <v>248</v>
      </c>
      <c r="E619" s="1" t="s">
        <v>156</v>
      </c>
      <c r="F619" s="2" t="str">
        <f>HYPERLINK("https://www.sciencedirect.com/journal/societal-impacts")</f>
        <v>https://www.sciencedirect.com/journal/societal-impacts</v>
      </c>
      <c r="G619" s="1" t="s">
        <v>2051</v>
      </c>
    </row>
    <row r="620" spans="1:7" ht="12.75" customHeight="1" x14ac:dyDescent="0.3">
      <c r="A620" s="1" t="s">
        <v>2052</v>
      </c>
      <c r="B620" s="1" t="s">
        <v>222</v>
      </c>
      <c r="C620" s="1" t="s">
        <v>2053</v>
      </c>
      <c r="D620" s="6">
        <v>1344</v>
      </c>
      <c r="E620" s="1" t="s">
        <v>158</v>
      </c>
      <c r="F620" s="2" t="str">
        <f>HYPERLINK("https://www.sciencedirect.com/journal/igie")</f>
        <v>https://www.sciencedirect.com/journal/igie</v>
      </c>
      <c r="G620" s="1" t="s">
        <v>2054</v>
      </c>
    </row>
    <row r="621" spans="1:7" ht="12.75" customHeight="1" x14ac:dyDescent="0.3">
      <c r="A621" s="1" t="s">
        <v>2055</v>
      </c>
      <c r="B621" s="1" t="s">
        <v>222</v>
      </c>
      <c r="C621" s="1" t="s">
        <v>2056</v>
      </c>
      <c r="D621" s="6">
        <v>1536</v>
      </c>
      <c r="E621" s="1" t="s">
        <v>156</v>
      </c>
      <c r="F621" s="2" t="str">
        <f>HYPERLINK("https://www.sciencedirect.com/journal/journal-of-pediatric-surgery-open")</f>
        <v>https://www.sciencedirect.com/journal/journal-of-pediatric-surgery-open</v>
      </c>
      <c r="G621" s="1" t="s">
        <v>2057</v>
      </c>
    </row>
    <row r="622" spans="1:7" ht="12.75" customHeight="1" x14ac:dyDescent="0.3">
      <c r="A622" s="1" t="s">
        <v>2058</v>
      </c>
      <c r="B622" s="1" t="s">
        <v>207</v>
      </c>
      <c r="C622" s="1" t="s">
        <v>2059</v>
      </c>
      <c r="D622" s="6">
        <v>824</v>
      </c>
      <c r="E622" s="1" t="s">
        <v>158</v>
      </c>
      <c r="F622" s="2" t="str">
        <f>HYPERLINK("https://www.sciencedirect.com/journal/cancer-pathogenesis-and-therapy")</f>
        <v>https://www.sciencedirect.com/journal/cancer-pathogenesis-and-therapy</v>
      </c>
      <c r="G622" s="1" t="s">
        <v>2060</v>
      </c>
    </row>
    <row r="623" spans="1:7" ht="12.75" customHeight="1" x14ac:dyDescent="0.3">
      <c r="A623" s="1" t="s">
        <v>2061</v>
      </c>
      <c r="B623" s="1" t="s">
        <v>218</v>
      </c>
      <c r="C623" s="1" t="s">
        <v>2062</v>
      </c>
      <c r="D623" s="6">
        <v>1368</v>
      </c>
      <c r="E623" s="1" t="s">
        <v>156</v>
      </c>
      <c r="F623" s="2" t="str">
        <f>HYPERLINK("https://www.sciencedirect.com/journal/natural-language-processing-journal")</f>
        <v>https://www.sciencedirect.com/journal/natural-language-processing-journal</v>
      </c>
      <c r="G623" s="1" t="s">
        <v>2063</v>
      </c>
    </row>
    <row r="624" spans="1:7" ht="12.75" customHeight="1" x14ac:dyDescent="0.3">
      <c r="A624" s="1" t="s">
        <v>2064</v>
      </c>
      <c r="B624" s="1" t="s">
        <v>168</v>
      </c>
      <c r="C624" s="1" t="s">
        <v>2065</v>
      </c>
      <c r="D624" s="6">
        <v>1720</v>
      </c>
      <c r="E624" s="1" t="s">
        <v>158</v>
      </c>
      <c r="F624" s="2" t="str">
        <f>HYPERLINK("https://www.sciencedirect.com/journal/journal-of-food-protection")</f>
        <v>https://www.sciencedirect.com/journal/journal-of-food-protection</v>
      </c>
      <c r="G624" s="1" t="s">
        <v>2066</v>
      </c>
    </row>
    <row r="625" spans="1:7" ht="12.75" customHeight="1" x14ac:dyDescent="0.3">
      <c r="A625" s="1" t="s">
        <v>2067</v>
      </c>
      <c r="B625" s="1" t="s">
        <v>222</v>
      </c>
      <c r="C625" s="1" t="s">
        <v>2068</v>
      </c>
      <c r="D625" s="6">
        <v>1944</v>
      </c>
      <c r="E625" s="1" t="s">
        <v>158</v>
      </c>
      <c r="F625" s="2" t="str">
        <f>HYPERLINK("https://www.sciencedirect.com/journal/jaacap-open")</f>
        <v>https://www.sciencedirect.com/journal/jaacap-open</v>
      </c>
      <c r="G625" s="1" t="s">
        <v>2069</v>
      </c>
    </row>
    <row r="626" spans="1:7" ht="12.75" customHeight="1" x14ac:dyDescent="0.3">
      <c r="A626" s="1" t="s">
        <v>2070</v>
      </c>
      <c r="B626" s="1" t="s">
        <v>185</v>
      </c>
      <c r="C626" s="1" t="s">
        <v>2071</v>
      </c>
      <c r="D626" s="6">
        <v>1536</v>
      </c>
      <c r="E626" s="1" t="s">
        <v>156</v>
      </c>
      <c r="F626" s="2" t="str">
        <f>HYPERLINK("https://www.sciencedirect.com/journal/waste-management-bulletin")</f>
        <v>https://www.sciencedirect.com/journal/waste-management-bulletin</v>
      </c>
      <c r="G626" s="1" t="s">
        <v>2072</v>
      </c>
    </row>
    <row r="627" spans="1:7" ht="12.75" customHeight="1" x14ac:dyDescent="0.3">
      <c r="A627" s="1" t="s">
        <v>2073</v>
      </c>
      <c r="B627" s="1" t="s">
        <v>167</v>
      </c>
      <c r="C627" s="1" t="s">
        <v>2074</v>
      </c>
      <c r="D627" s="6">
        <v>2304</v>
      </c>
      <c r="E627" s="1" t="s">
        <v>156</v>
      </c>
      <c r="F627" s="2" t="str">
        <f>HYPERLINK("https://www.sciencedirect.com/journal/materials-today-catalysis")</f>
        <v>https://www.sciencedirect.com/journal/materials-today-catalysis</v>
      </c>
      <c r="G627" s="1" t="s">
        <v>2075</v>
      </c>
    </row>
    <row r="628" spans="1:7" ht="12.75" customHeight="1" x14ac:dyDescent="0.3">
      <c r="A628" s="1" t="s">
        <v>2076</v>
      </c>
      <c r="B628" s="1" t="s">
        <v>164</v>
      </c>
      <c r="C628" s="1" t="s">
        <v>2077</v>
      </c>
      <c r="D628" s="6">
        <v>1000</v>
      </c>
      <c r="E628" s="1" t="s">
        <v>156</v>
      </c>
      <c r="F628" s="2" t="str">
        <f>HYPERLINK("https://www.sciencedirect.com/journal/chemistry-of-inorganic-materials")</f>
        <v>https://www.sciencedirect.com/journal/chemistry-of-inorganic-materials</v>
      </c>
      <c r="G628" s="1" t="s">
        <v>2078</v>
      </c>
    </row>
    <row r="629" spans="1:7" ht="12.75" customHeight="1" x14ac:dyDescent="0.3">
      <c r="A629" s="1" t="s">
        <v>2079</v>
      </c>
      <c r="B629" s="1" t="s">
        <v>164</v>
      </c>
      <c r="C629" s="1" t="s">
        <v>2080</v>
      </c>
      <c r="D629" s="6">
        <v>1128</v>
      </c>
      <c r="E629" s="1" t="s">
        <v>156</v>
      </c>
      <c r="F629" s="2" t="str">
        <f>HYPERLINK("https://www.sciencedirect.com/journal/artificial-intelligence-chemistry")</f>
        <v>https://www.sciencedirect.com/journal/artificial-intelligence-chemistry</v>
      </c>
      <c r="G629" s="1" t="s">
        <v>2081</v>
      </c>
    </row>
    <row r="630" spans="1:7" ht="12.75" customHeight="1" x14ac:dyDescent="0.3">
      <c r="A630" s="1" t="s">
        <v>2082</v>
      </c>
      <c r="B630" s="1" t="s">
        <v>295</v>
      </c>
      <c r="C630" s="1" t="s">
        <v>2083</v>
      </c>
      <c r="D630" s="6">
        <v>3272</v>
      </c>
      <c r="E630" s="1" t="s">
        <v>158</v>
      </c>
      <c r="F630" s="2" t="str">
        <f>HYPERLINK("https://www.sciencedirect.com/journal/mucosal-immunology")</f>
        <v>https://www.sciencedirect.com/journal/mucosal-immunology</v>
      </c>
      <c r="G630" s="1" t="s">
        <v>2084</v>
      </c>
    </row>
    <row r="631" spans="1:7" ht="12.75" customHeight="1" x14ac:dyDescent="0.3">
      <c r="A631" s="1" t="s">
        <v>2085</v>
      </c>
      <c r="B631" s="1" t="s">
        <v>183</v>
      </c>
      <c r="C631" s="1" t="s">
        <v>2086</v>
      </c>
      <c r="D631" s="6">
        <v>936</v>
      </c>
      <c r="E631" s="1" t="s">
        <v>158</v>
      </c>
      <c r="F631" s="2" t="str">
        <f>HYPERLINK("https://www.sciencedirect.com/journal/journal-of-open-innovation-technology-market-and-complexity")</f>
        <v>https://www.sciencedirect.com/journal/journal-of-open-innovation-technology-market-and-complexity</v>
      </c>
      <c r="G631" s="1" t="s">
        <v>2087</v>
      </c>
    </row>
    <row r="632" spans="1:7" ht="12.75" customHeight="1" x14ac:dyDescent="0.3">
      <c r="A632" s="1" t="s">
        <v>2088</v>
      </c>
      <c r="B632" s="1" t="s">
        <v>222</v>
      </c>
      <c r="C632" s="1" t="s">
        <v>2089</v>
      </c>
      <c r="D632" s="6">
        <v>1872</v>
      </c>
      <c r="E632" s="1" t="s">
        <v>158</v>
      </c>
      <c r="F632" s="2" t="str">
        <f>HYPERLINK("https://www.sciencedirect.com/journal/mayo-clinic-proceedings-digital-health")</f>
        <v>https://www.sciencedirect.com/journal/mayo-clinic-proceedings-digital-health</v>
      </c>
      <c r="G632" s="1" t="s">
        <v>2090</v>
      </c>
    </row>
    <row r="633" spans="1:7" ht="12.75" customHeight="1" x14ac:dyDescent="0.3">
      <c r="A633" s="1" t="s">
        <v>2091</v>
      </c>
      <c r="B633" s="1" t="s">
        <v>185</v>
      </c>
      <c r="C633" s="1" t="s">
        <v>2092</v>
      </c>
      <c r="D633" s="6">
        <v>4513.5</v>
      </c>
      <c r="E633" s="1" t="s">
        <v>156</v>
      </c>
      <c r="F633" s="2" t="str">
        <f>HYPERLINK("https://www.sciencedirect.com/journal/cell-reports-sustainability")</f>
        <v>https://www.sciencedirect.com/journal/cell-reports-sustainability</v>
      </c>
      <c r="G633" s="1" t="s">
        <v>2093</v>
      </c>
    </row>
    <row r="634" spans="1:7" ht="12.75" customHeight="1" x14ac:dyDescent="0.3">
      <c r="A634" s="1" t="s">
        <v>2094</v>
      </c>
      <c r="B634" s="1" t="s">
        <v>164</v>
      </c>
      <c r="C634" s="1" t="s">
        <v>2095</v>
      </c>
      <c r="D634" s="6">
        <v>1448</v>
      </c>
      <c r="E634" s="1" t="s">
        <v>156</v>
      </c>
      <c r="F634" s="2" t="str">
        <f>HYPERLINK("https://www.sciencedirect.com/journal/journal-of-pharmaceutical-and-biomedical-analysis-open")</f>
        <v>https://www.sciencedirect.com/journal/journal-of-pharmaceutical-and-biomedical-analysis-open</v>
      </c>
      <c r="G634" s="1" t="s">
        <v>2096</v>
      </c>
    </row>
    <row r="635" spans="1:7" ht="12.75" customHeight="1" x14ac:dyDescent="0.3">
      <c r="A635" s="1" t="s">
        <v>2097</v>
      </c>
      <c r="B635" s="1" t="s">
        <v>107</v>
      </c>
      <c r="C635" s="1" t="s">
        <v>2098</v>
      </c>
      <c r="D635" s="6">
        <v>2392</v>
      </c>
      <c r="E635" s="1" t="s">
        <v>158</v>
      </c>
      <c r="F635" s="2" t="str">
        <f>HYPERLINK("https://www.sciencedirect.com/journal/genetics-in-medicine-open")</f>
        <v>https://www.sciencedirect.com/journal/genetics-in-medicine-open</v>
      </c>
      <c r="G635" s="1" t="s">
        <v>2099</v>
      </c>
    </row>
    <row r="636" spans="1:7" ht="12.75" customHeight="1" x14ac:dyDescent="0.3">
      <c r="A636" s="1" t="s">
        <v>2100</v>
      </c>
      <c r="B636" s="1" t="s">
        <v>250</v>
      </c>
      <c r="C636" s="1" t="s">
        <v>2101</v>
      </c>
      <c r="D636" s="6">
        <v>3744</v>
      </c>
      <c r="E636" s="1" t="s">
        <v>505</v>
      </c>
      <c r="F636" s="2" t="str">
        <f>HYPERLINK("https://www.sciencedirect.com/journal/current-developments-in-nutrition")</f>
        <v>https://www.sciencedirect.com/journal/current-developments-in-nutrition</v>
      </c>
      <c r="G636" s="1" t="s">
        <v>2102</v>
      </c>
    </row>
    <row r="637" spans="1:7" ht="12.75" customHeight="1" x14ac:dyDescent="0.3">
      <c r="A637" s="1" t="s">
        <v>2103</v>
      </c>
      <c r="B637" s="1" t="s">
        <v>250</v>
      </c>
      <c r="C637" s="1" t="s">
        <v>2104</v>
      </c>
      <c r="D637" s="6">
        <v>3888</v>
      </c>
      <c r="E637" s="1" t="s">
        <v>505</v>
      </c>
      <c r="F637" s="2" t="str">
        <f>HYPERLINK("https://www.sciencedirect.com/journal/advances-in-nutrition")</f>
        <v>https://www.sciencedirect.com/journal/advances-in-nutrition</v>
      </c>
      <c r="G637" s="1" t="s">
        <v>2105</v>
      </c>
    </row>
    <row r="638" spans="1:7" ht="12.75" customHeight="1" x14ac:dyDescent="0.3">
      <c r="A638" s="1" t="s">
        <v>2106</v>
      </c>
      <c r="B638" s="1" t="s">
        <v>222</v>
      </c>
      <c r="C638" s="1" t="s">
        <v>2107</v>
      </c>
      <c r="D638" s="6">
        <v>1872</v>
      </c>
      <c r="E638" s="1" t="s">
        <v>158</v>
      </c>
      <c r="F638" s="2" t="str">
        <f>HYPERLINK("https://www.sciencedirect.com/journal/chest-critical-care")</f>
        <v>https://www.sciencedirect.com/journal/chest-critical-care</v>
      </c>
      <c r="G638" s="1" t="s">
        <v>2108</v>
      </c>
    </row>
    <row r="639" spans="1:7" ht="12.75" customHeight="1" x14ac:dyDescent="0.3">
      <c r="A639" s="1" t="s">
        <v>2109</v>
      </c>
      <c r="B639" s="1" t="s">
        <v>193</v>
      </c>
      <c r="C639" s="1" t="s">
        <v>2110</v>
      </c>
      <c r="D639" s="6">
        <v>1680</v>
      </c>
      <c r="E639" s="1" t="s">
        <v>158</v>
      </c>
      <c r="F639" s="2" t="str">
        <f>HYPERLINK("https://www.sciencedirect.com/journal/research-and-practice-in-thrombosis-and-haemostasis")</f>
        <v>https://www.sciencedirect.com/journal/research-and-practice-in-thrombosis-and-haemostasis</v>
      </c>
      <c r="G639" s="1" t="s">
        <v>2111</v>
      </c>
    </row>
    <row r="640" spans="1:7" ht="12.75" customHeight="1" x14ac:dyDescent="0.3">
      <c r="A640" s="1" t="s">
        <v>2112</v>
      </c>
      <c r="B640" s="1" t="s">
        <v>222</v>
      </c>
      <c r="C640" s="1" t="s">
        <v>2113</v>
      </c>
      <c r="D640" s="6">
        <v>1872</v>
      </c>
      <c r="E640" s="1" t="s">
        <v>158</v>
      </c>
      <c r="F640" s="2" t="str">
        <f>HYPERLINK("https://www.sciencedirect.com/journal/chest-pulmonary")</f>
        <v>https://www.sciencedirect.com/journal/chest-pulmonary</v>
      </c>
      <c r="G640" s="1" t="s">
        <v>2114</v>
      </c>
    </row>
    <row r="641" spans="1:7" ht="12.75" customHeight="1" x14ac:dyDescent="0.3">
      <c r="A641" s="1" t="s">
        <v>2115</v>
      </c>
      <c r="B641" s="1" t="s">
        <v>166</v>
      </c>
      <c r="C641" s="1" t="s">
        <v>2116</v>
      </c>
      <c r="D641" s="6">
        <v>1216</v>
      </c>
      <c r="E641" s="1" t="s">
        <v>156</v>
      </c>
      <c r="F641" s="2" t="str">
        <f>HYPERLINK("https://www.sciencedirect.com/journal/journal-of-economic-criminology")</f>
        <v>https://www.sciencedirect.com/journal/journal-of-economic-criminology</v>
      </c>
      <c r="G641" s="1" t="s">
        <v>2117</v>
      </c>
    </row>
    <row r="642" spans="1:7" ht="12.75" customHeight="1" x14ac:dyDescent="0.3">
      <c r="A642" s="1" t="s">
        <v>2118</v>
      </c>
      <c r="B642" s="1" t="s">
        <v>179</v>
      </c>
      <c r="C642" s="1" t="s">
        <v>2119</v>
      </c>
      <c r="D642" s="6">
        <v>1152</v>
      </c>
      <c r="E642" s="1" t="s">
        <v>156</v>
      </c>
      <c r="F642" s="2" t="str">
        <f>HYPERLINK("https://www.sciencedirect.com/journal/next-energy")</f>
        <v>https://www.sciencedirect.com/journal/next-energy</v>
      </c>
      <c r="G642" s="1" t="s">
        <v>2120</v>
      </c>
    </row>
    <row r="643" spans="1:7" ht="12.75" customHeight="1" x14ac:dyDescent="0.3">
      <c r="A643" s="1" t="s">
        <v>2121</v>
      </c>
      <c r="B643" s="1" t="s">
        <v>210</v>
      </c>
      <c r="C643" s="1" t="s">
        <v>2122</v>
      </c>
      <c r="D643" s="6">
        <v>1152</v>
      </c>
      <c r="E643" s="1" t="s">
        <v>156</v>
      </c>
      <c r="F643" s="2" t="str">
        <f>HYPERLINK("https://www.sciencedirect.com/journal/next-materials")</f>
        <v>https://www.sciencedirect.com/journal/next-materials</v>
      </c>
      <c r="G643" s="1" t="s">
        <v>2123</v>
      </c>
    </row>
    <row r="644" spans="1:7" ht="12.75" customHeight="1" x14ac:dyDescent="0.3">
      <c r="A644" s="1" t="s">
        <v>2124</v>
      </c>
      <c r="B644" s="1" t="s">
        <v>208</v>
      </c>
      <c r="C644" s="1" t="s">
        <v>2125</v>
      </c>
      <c r="D644" s="6">
        <v>1000</v>
      </c>
      <c r="E644" s="1" t="s">
        <v>156</v>
      </c>
      <c r="F644" s="2" t="str">
        <f>HYPERLINK("https://www.sciencedirect.com/journal/next-sustainability")</f>
        <v>https://www.sciencedirect.com/journal/next-sustainability</v>
      </c>
      <c r="G644" s="1" t="s">
        <v>2126</v>
      </c>
    </row>
    <row r="645" spans="1:7" ht="12.75" customHeight="1" x14ac:dyDescent="0.3">
      <c r="A645" s="1" t="s">
        <v>2127</v>
      </c>
      <c r="B645" s="1" t="s">
        <v>222</v>
      </c>
      <c r="C645" s="1" t="s">
        <v>2128</v>
      </c>
      <c r="D645" s="6">
        <v>2200</v>
      </c>
      <c r="E645" s="1" t="s">
        <v>386</v>
      </c>
      <c r="F645" s="2" t="str">
        <f>HYPERLINK("https://www.sciencedirect.com/journal/esmo-real-world-data-and-digital-oncology")</f>
        <v>https://www.sciencedirect.com/journal/esmo-real-world-data-and-digital-oncology</v>
      </c>
      <c r="G645" s="1" t="s">
        <v>2129</v>
      </c>
    </row>
    <row r="646" spans="1:7" ht="12.75" customHeight="1" x14ac:dyDescent="0.3">
      <c r="A646" s="1" t="s">
        <v>2130</v>
      </c>
      <c r="B646" s="1" t="s">
        <v>222</v>
      </c>
      <c r="C646" s="1" t="s">
        <v>2131</v>
      </c>
      <c r="D646" s="6">
        <v>2200</v>
      </c>
      <c r="E646" s="1" t="s">
        <v>386</v>
      </c>
      <c r="F646" s="2" t="str">
        <f>HYPERLINK("https://www.sciencedirect.com/journal/esmo-gastrointestinal-oncology")</f>
        <v>https://www.sciencedirect.com/journal/esmo-gastrointestinal-oncology</v>
      </c>
      <c r="G646" s="1" t="s">
        <v>2132</v>
      </c>
    </row>
    <row r="647" spans="1:7" ht="12.75" customHeight="1" x14ac:dyDescent="0.3">
      <c r="A647" s="1" t="s">
        <v>2133</v>
      </c>
      <c r="B647" s="1" t="s">
        <v>174</v>
      </c>
      <c r="C647" s="1" t="s">
        <v>2134</v>
      </c>
      <c r="D647" s="6">
        <v>1000</v>
      </c>
      <c r="E647" s="1" t="s">
        <v>156</v>
      </c>
      <c r="F647" s="2" t="str">
        <f>HYPERLINK("https://www.sciencedirect.com/journal/next-nanotechnology")</f>
        <v>https://www.sciencedirect.com/journal/next-nanotechnology</v>
      </c>
      <c r="G647" s="1" t="s">
        <v>2135</v>
      </c>
    </row>
    <row r="648" spans="1:7" ht="12.75" customHeight="1" x14ac:dyDescent="0.3">
      <c r="A648" s="1" t="s">
        <v>2136</v>
      </c>
      <c r="B648" s="1" t="s">
        <v>187</v>
      </c>
      <c r="C648" s="1" t="s">
        <v>2137</v>
      </c>
      <c r="D648" s="6">
        <v>2024</v>
      </c>
      <c r="E648" s="1" t="s">
        <v>156</v>
      </c>
      <c r="F648" s="2" t="str">
        <f>HYPERLINK("https://www.sciencedirect.com/journal/brain-behavior-and-immunity-integrative")</f>
        <v>https://www.sciencedirect.com/journal/brain-behavior-and-immunity-integrative</v>
      </c>
      <c r="G648" s="1" t="s">
        <v>2138</v>
      </c>
    </row>
    <row r="649" spans="1:7" ht="12.75" customHeight="1" x14ac:dyDescent="0.3">
      <c r="A649" s="1" t="s">
        <v>2139</v>
      </c>
      <c r="B649" s="1" t="s">
        <v>160</v>
      </c>
      <c r="C649" s="1" t="s">
        <v>2140</v>
      </c>
      <c r="D649" s="6">
        <v>824</v>
      </c>
      <c r="E649" s="1" t="s">
        <v>158</v>
      </c>
      <c r="F649" s="2" t="str">
        <f>HYPERLINK("https://www.sciencedirect.com/journal/journal-of-engineering-research")</f>
        <v>https://www.sciencedirect.com/journal/journal-of-engineering-research</v>
      </c>
      <c r="G649" s="1" t="s">
        <v>2141</v>
      </c>
    </row>
    <row r="650" spans="1:7" ht="12.75" customHeight="1" x14ac:dyDescent="0.3">
      <c r="A650" s="1" t="s">
        <v>2142</v>
      </c>
      <c r="B650" s="1" t="s">
        <v>222</v>
      </c>
      <c r="C650" s="1" t="s">
        <v>2143</v>
      </c>
      <c r="D650" s="6">
        <v>2104</v>
      </c>
      <c r="E650" s="1" t="s">
        <v>158</v>
      </c>
      <c r="F650" s="2" t="str">
        <f>HYPERLINK("https://www.sciencedirect.com/journal/australian-and-new-zealand-journal-of-public-health")</f>
        <v>https://www.sciencedirect.com/journal/australian-and-new-zealand-journal-of-public-health</v>
      </c>
      <c r="G650" s="1" t="s">
        <v>2144</v>
      </c>
    </row>
    <row r="651" spans="1:7" ht="12.75" customHeight="1" x14ac:dyDescent="0.3">
      <c r="A651" s="1" t="s">
        <v>2145</v>
      </c>
      <c r="B651" s="1" t="s">
        <v>164</v>
      </c>
      <c r="C651" s="1" t="s">
        <v>2146</v>
      </c>
      <c r="D651" s="6">
        <v>1296</v>
      </c>
      <c r="E651" s="1" t="s">
        <v>156</v>
      </c>
      <c r="F651" s="2" t="str">
        <f>HYPERLINK("https://www.sciencedirect.com/journal/sustainable-chemistry-for-the-environment")</f>
        <v>https://www.sciencedirect.com/journal/sustainable-chemistry-for-the-environment</v>
      </c>
      <c r="G651" s="1" t="s">
        <v>2147</v>
      </c>
    </row>
    <row r="652" spans="1:7" ht="12.75" customHeight="1" x14ac:dyDescent="0.3">
      <c r="A652" s="1" t="s">
        <v>2148</v>
      </c>
      <c r="B652" s="1" t="s">
        <v>2149</v>
      </c>
      <c r="C652" s="1" t="s">
        <v>2150</v>
      </c>
      <c r="D652" s="6">
        <v>376</v>
      </c>
      <c r="E652" s="1" t="s">
        <v>158</v>
      </c>
      <c r="F652" s="2" t="str">
        <f>HYPERLINK("https://www.sciencedirect.com/journal/first-nations-health-and-wellbeing-the-lowitja-journal")</f>
        <v>https://www.sciencedirect.com/journal/first-nations-health-and-wellbeing-the-lowitja-journal</v>
      </c>
      <c r="G652" s="1" t="s">
        <v>2151</v>
      </c>
    </row>
    <row r="653" spans="1:7" ht="12.75" customHeight="1" x14ac:dyDescent="0.3">
      <c r="A653" s="1" t="s">
        <v>2152</v>
      </c>
      <c r="B653" s="1" t="s">
        <v>293</v>
      </c>
      <c r="C653" s="1" t="s">
        <v>2153</v>
      </c>
      <c r="D653" s="6">
        <v>1168</v>
      </c>
      <c r="E653" s="1" t="s">
        <v>156</v>
      </c>
      <c r="F653" s="2" t="str">
        <f>HYPERLINK("https://www.sciencedirect.com/journal/ssm-health-systems")</f>
        <v>https://www.sciencedirect.com/journal/ssm-health-systems</v>
      </c>
      <c r="G653" s="1" t="s">
        <v>2154</v>
      </c>
    </row>
    <row r="654" spans="1:7" ht="12.75" customHeight="1" x14ac:dyDescent="0.3">
      <c r="A654" s="1" t="s">
        <v>2155</v>
      </c>
      <c r="B654" s="1" t="s">
        <v>250</v>
      </c>
      <c r="C654" s="1" t="s">
        <v>2156</v>
      </c>
      <c r="D654" s="6">
        <v>1368</v>
      </c>
      <c r="E654" s="1" t="s">
        <v>156</v>
      </c>
      <c r="F654" s="2" t="str">
        <f>HYPERLINK("https://www.sciencedirect.com/journal/measurement-and-evaluations-in-cancer-care")</f>
        <v>https://www.sciencedirect.com/journal/measurement-and-evaluations-in-cancer-care</v>
      </c>
      <c r="G654" s="1" t="s">
        <v>2157</v>
      </c>
    </row>
    <row r="655" spans="1:7" ht="12.75" customHeight="1" x14ac:dyDescent="0.3">
      <c r="A655" s="1" t="s">
        <v>2158</v>
      </c>
      <c r="B655" s="1" t="s">
        <v>275</v>
      </c>
      <c r="C655" s="1" t="s">
        <v>2159</v>
      </c>
      <c r="D655" s="6">
        <v>1640</v>
      </c>
      <c r="E655" s="1" t="s">
        <v>156</v>
      </c>
      <c r="F655" s="2" t="str">
        <f>HYPERLINK("https://www.sciencedirect.com/journal/supply-chain-analytics")</f>
        <v>https://www.sciencedirect.com/journal/supply-chain-analytics</v>
      </c>
      <c r="G655" s="1" t="s">
        <v>2160</v>
      </c>
    </row>
    <row r="656" spans="1:7" ht="12.75" customHeight="1" x14ac:dyDescent="0.3">
      <c r="A656" s="1" t="s">
        <v>2161</v>
      </c>
      <c r="B656" s="1" t="s">
        <v>179</v>
      </c>
      <c r="C656" s="1" t="s">
        <v>2162</v>
      </c>
      <c r="D656" s="6">
        <v>1648</v>
      </c>
      <c r="E656" s="1" t="s">
        <v>158</v>
      </c>
      <c r="F656" s="2" t="str">
        <f>HYPERLINK("https://www.sciencedirect.com/journal/decarbon")</f>
        <v>https://www.sciencedirect.com/journal/decarbon</v>
      </c>
      <c r="G656" s="1" t="s">
        <v>2163</v>
      </c>
    </row>
    <row r="657" spans="1:7" ht="12.75" customHeight="1" x14ac:dyDescent="0.3">
      <c r="A657" s="1" t="s">
        <v>2164</v>
      </c>
      <c r="B657" s="1" t="s">
        <v>309</v>
      </c>
      <c r="C657" s="1" t="s">
        <v>2165</v>
      </c>
      <c r="D657" s="6">
        <v>1216</v>
      </c>
      <c r="E657" s="1" t="s">
        <v>156</v>
      </c>
      <c r="F657" s="2" t="str">
        <f>HYPERLINK("https://www.sciencedirect.com/journal/computers-in-human-behavior-artificial-humans")</f>
        <v>https://www.sciencedirect.com/journal/computers-in-human-behavior-artificial-humans</v>
      </c>
      <c r="G657" s="1" t="s">
        <v>2166</v>
      </c>
    </row>
    <row r="658" spans="1:7" ht="12.75" customHeight="1" x14ac:dyDescent="0.3">
      <c r="A658" s="1" t="s">
        <v>2167</v>
      </c>
      <c r="B658" s="1" t="s">
        <v>222</v>
      </c>
      <c r="C658" s="1" t="s">
        <v>2168</v>
      </c>
      <c r="D658" s="6">
        <v>1568</v>
      </c>
      <c r="E658" s="1" t="s">
        <v>156</v>
      </c>
      <c r="F658" s="2" t="str">
        <f>HYPERLINK("https://www.sciencedirect.com/journal/jfo-open-ophthalmology")</f>
        <v>https://www.sciencedirect.com/journal/jfo-open-ophthalmology</v>
      </c>
      <c r="G658" s="1" t="s">
        <v>2169</v>
      </c>
    </row>
    <row r="659" spans="1:7" ht="12.75" customHeight="1" x14ac:dyDescent="0.3">
      <c r="A659" s="1" t="s">
        <v>2170</v>
      </c>
      <c r="B659" s="1" t="s">
        <v>2171</v>
      </c>
      <c r="C659" s="1" t="s">
        <v>2172</v>
      </c>
      <c r="D659" s="6">
        <v>1944</v>
      </c>
      <c r="E659" s="1" t="s">
        <v>158</v>
      </c>
      <c r="F659" s="2" t="str">
        <f>HYPERLINK("https://www.sciencedirect.com/journal/mechanobiology-in-medicine")</f>
        <v>https://www.sciencedirect.com/journal/mechanobiology-in-medicine</v>
      </c>
      <c r="G659" s="1" t="s">
        <v>2173</v>
      </c>
    </row>
    <row r="660" spans="1:7" ht="12.75" customHeight="1" x14ac:dyDescent="0.3">
      <c r="A660" s="1" t="s">
        <v>2174</v>
      </c>
      <c r="B660" s="1" t="s">
        <v>222</v>
      </c>
      <c r="C660" s="1" t="s">
        <v>2175</v>
      </c>
      <c r="D660" s="6">
        <v>1312</v>
      </c>
      <c r="E660" s="1" t="s">
        <v>158</v>
      </c>
      <c r="F660" s="2" t="str">
        <f>HYPERLINK("https://www.sciencedirect.com/journal/ijid-one-health")</f>
        <v>https://www.sciencedirect.com/journal/ijid-one-health</v>
      </c>
      <c r="G660" s="1" t="s">
        <v>2176</v>
      </c>
    </row>
    <row r="661" spans="1:7" ht="12.75" customHeight="1" x14ac:dyDescent="0.3">
      <c r="A661" s="1" t="s">
        <v>2177</v>
      </c>
      <c r="B661" s="1" t="s">
        <v>755</v>
      </c>
      <c r="C661" s="1" t="s">
        <v>2178</v>
      </c>
      <c r="D661" s="6">
        <v>1608</v>
      </c>
      <c r="E661" s="1" t="s">
        <v>156</v>
      </c>
      <c r="F661" s="2" t="str">
        <f>HYPERLINK("https://www.sciencedirect.com/journal/journal-of-equine-rehabilitation")</f>
        <v>https://www.sciencedirect.com/journal/journal-of-equine-rehabilitation</v>
      </c>
      <c r="G661" s="1" t="s">
        <v>2179</v>
      </c>
    </row>
    <row r="662" spans="1:7" ht="12.75" customHeight="1" x14ac:dyDescent="0.3">
      <c r="A662" s="1" t="s">
        <v>2180</v>
      </c>
      <c r="B662" s="1" t="s">
        <v>166</v>
      </c>
      <c r="C662" s="1" t="s">
        <v>2181</v>
      </c>
      <c r="D662" s="6">
        <v>1216</v>
      </c>
      <c r="E662" s="1" t="s">
        <v>156</v>
      </c>
      <c r="F662" s="2" t="str">
        <f>HYPERLINK("https://www.sciencedirect.com/journal/transport-economics-and-management")</f>
        <v>https://www.sciencedirect.com/journal/transport-economics-and-management</v>
      </c>
      <c r="G662" s="1" t="s">
        <v>2182</v>
      </c>
    </row>
    <row r="663" spans="1:7" ht="12.75" customHeight="1" x14ac:dyDescent="0.3">
      <c r="A663" s="1" t="s">
        <v>2183</v>
      </c>
      <c r="B663" s="1" t="s">
        <v>222</v>
      </c>
      <c r="C663" s="1" t="s">
        <v>2184</v>
      </c>
      <c r="D663" s="6">
        <v>1496</v>
      </c>
      <c r="E663" s="1" t="s">
        <v>158</v>
      </c>
      <c r="F663" s="2" t="str">
        <f>HYPERLINK("https://www.sciencedirect.com/journal/jvs-vascular-insights")</f>
        <v>https://www.sciencedirect.com/journal/jvs-vascular-insights</v>
      </c>
      <c r="G663" s="1" t="s">
        <v>2185</v>
      </c>
    </row>
    <row r="664" spans="1:7" ht="12.75" customHeight="1" x14ac:dyDescent="0.3">
      <c r="A664" s="1" t="s">
        <v>2186</v>
      </c>
      <c r="B664" s="1" t="s">
        <v>187</v>
      </c>
      <c r="C664" s="1" t="s">
        <v>2187</v>
      </c>
      <c r="D664" s="6">
        <v>1600</v>
      </c>
      <c r="E664" s="1" t="s">
        <v>158</v>
      </c>
      <c r="F664" s="2" t="str">
        <f>HYPERLINK("https://www.sciencedirect.com/journal/brain-organoid-and-systems-neuroscience-journal")</f>
        <v>https://www.sciencedirect.com/journal/brain-organoid-and-systems-neuroscience-journal</v>
      </c>
      <c r="G664" s="1" t="s">
        <v>2188</v>
      </c>
    </row>
    <row r="665" spans="1:7" ht="12.75" customHeight="1" x14ac:dyDescent="0.3">
      <c r="A665" s="1" t="s">
        <v>2189</v>
      </c>
      <c r="B665" s="1" t="s">
        <v>1781</v>
      </c>
      <c r="C665" s="1" t="s">
        <v>2190</v>
      </c>
      <c r="D665" s="6">
        <v>1496</v>
      </c>
      <c r="E665" s="1" t="s">
        <v>156</v>
      </c>
      <c r="F665" s="2" t="str">
        <f>HYPERLINK("https://www.sciencedirect.com/journal/journal-of-medicine-surgery-and-public-health")</f>
        <v>https://www.sciencedirect.com/journal/journal-of-medicine-surgery-and-public-health</v>
      </c>
      <c r="G665" s="1" t="s">
        <v>2191</v>
      </c>
    </row>
    <row r="666" spans="1:7" ht="12.75" customHeight="1" x14ac:dyDescent="0.3">
      <c r="A666" s="1" t="s">
        <v>2192</v>
      </c>
      <c r="B666" s="1" t="s">
        <v>1781</v>
      </c>
      <c r="C666" s="1" t="s">
        <v>2193</v>
      </c>
      <c r="D666" s="6">
        <v>1496</v>
      </c>
      <c r="E666" s="1" t="s">
        <v>156</v>
      </c>
      <c r="F666" s="2" t="str">
        <f>HYPERLINK("https://www.sciencedirect.com/journal/medical-reports")</f>
        <v>https://www.sciencedirect.com/journal/medical-reports</v>
      </c>
      <c r="G666" s="1" t="s">
        <v>2194</v>
      </c>
    </row>
    <row r="667" spans="1:7" ht="12.75" customHeight="1" x14ac:dyDescent="0.3">
      <c r="A667" s="1" t="s">
        <v>2195</v>
      </c>
      <c r="B667" s="1" t="s">
        <v>210</v>
      </c>
      <c r="C667" s="1" t="s">
        <v>2196</v>
      </c>
      <c r="D667" s="6">
        <v>1264</v>
      </c>
      <c r="E667" s="1" t="s">
        <v>156</v>
      </c>
      <c r="F667" s="2" t="str">
        <f>HYPERLINK("https://www.sciencedirect.com/journal/journal-of-alloys-and-metallurgical-systems")</f>
        <v>https://www.sciencedirect.com/journal/journal-of-alloys-and-metallurgical-systems</v>
      </c>
      <c r="G667" s="1" t="s">
        <v>2197</v>
      </c>
    </row>
    <row r="668" spans="1:7" ht="12.75" customHeight="1" x14ac:dyDescent="0.3">
      <c r="A668" s="1" t="s">
        <v>2198</v>
      </c>
      <c r="B668" s="1" t="s">
        <v>241</v>
      </c>
      <c r="C668" s="1" t="s">
        <v>2199</v>
      </c>
      <c r="D668" s="6">
        <v>1536</v>
      </c>
      <c r="E668" s="1" t="s">
        <v>156</v>
      </c>
      <c r="F668" s="2" t="str">
        <f>HYPERLINK("https://www.sciencedirect.com/journal/health-care-transitions")</f>
        <v>https://www.sciencedirect.com/journal/health-care-transitions</v>
      </c>
      <c r="G668" s="1" t="s">
        <v>2200</v>
      </c>
    </row>
    <row r="669" spans="1:7" ht="12.75" customHeight="1" x14ac:dyDescent="0.3">
      <c r="A669" s="1" t="s">
        <v>2201</v>
      </c>
      <c r="B669" s="1" t="s">
        <v>164</v>
      </c>
      <c r="C669" s="1" t="s">
        <v>2202</v>
      </c>
      <c r="D669" s="6">
        <v>1248</v>
      </c>
      <c r="E669" s="1" t="s">
        <v>158</v>
      </c>
      <c r="F669" s="2" t="str">
        <f>HYPERLINK("https://www.sciencedirect.com/journal/international-journal-of-electrochemical-science")</f>
        <v>https://www.sciencedirect.com/journal/international-journal-of-electrochemical-science</v>
      </c>
      <c r="G669" s="1" t="s">
        <v>2203</v>
      </c>
    </row>
    <row r="670" spans="1:7" ht="12.75" customHeight="1" x14ac:dyDescent="0.3">
      <c r="A670" s="1" t="s">
        <v>2204</v>
      </c>
      <c r="B670" s="1" t="s">
        <v>222</v>
      </c>
      <c r="C670" s="1" t="s">
        <v>2205</v>
      </c>
      <c r="D670" s="6">
        <v>1048</v>
      </c>
      <c r="E670" s="1" t="s">
        <v>156</v>
      </c>
      <c r="F670" s="2" t="str">
        <f>HYPERLINK("https://www.sciencedirect.com/journal/surgery-case-reports")</f>
        <v>https://www.sciencedirect.com/journal/surgery-case-reports</v>
      </c>
      <c r="G670" s="1" t="s">
        <v>2206</v>
      </c>
    </row>
    <row r="671" spans="1:7" ht="12.75" customHeight="1" x14ac:dyDescent="0.3">
      <c r="A671" s="1" t="s">
        <v>2207</v>
      </c>
      <c r="B671" s="1" t="s">
        <v>310</v>
      </c>
      <c r="C671" s="1" t="s">
        <v>2208</v>
      </c>
      <c r="D671" s="6">
        <v>640</v>
      </c>
      <c r="E671" s="1" t="s">
        <v>158</v>
      </c>
      <c r="F671" s="2" t="str">
        <f>HYPERLINK("https://www.sciencedirect.com/journal/japha-practice-innovations")</f>
        <v>https://www.sciencedirect.com/journal/japha-practice-innovations</v>
      </c>
      <c r="G671" s="1" t="s">
        <v>2209</v>
      </c>
    </row>
    <row r="672" spans="1:7" ht="12.75" customHeight="1" x14ac:dyDescent="0.3">
      <c r="A672" s="1" t="s">
        <v>2210</v>
      </c>
      <c r="B672" s="1" t="s">
        <v>310</v>
      </c>
      <c r="C672" s="1" t="s">
        <v>2211</v>
      </c>
      <c r="D672" s="6">
        <v>1424</v>
      </c>
      <c r="E672" s="1" t="s">
        <v>158</v>
      </c>
      <c r="F672" s="2" t="str">
        <f>HYPERLINK("https://www.sciencedirect.com/journal/japha-pharmacotherapy")</f>
        <v>https://www.sciencedirect.com/journal/japha-pharmacotherapy</v>
      </c>
      <c r="G672" s="1" t="s">
        <v>2212</v>
      </c>
    </row>
    <row r="673" spans="1:7" ht="12.75" customHeight="1" x14ac:dyDescent="0.3">
      <c r="A673" s="1" t="s">
        <v>2213</v>
      </c>
      <c r="B673" s="1" t="s">
        <v>200</v>
      </c>
      <c r="C673" s="1" t="s">
        <v>2214</v>
      </c>
      <c r="D673" s="6">
        <v>2024</v>
      </c>
      <c r="E673" s="1" t="s">
        <v>158</v>
      </c>
      <c r="F673" s="2" t="str">
        <f>HYPERLINK("https://www.sciencedirect.com/journal/journal-of-mood-and-anxiety-disorders")</f>
        <v>https://www.sciencedirect.com/journal/journal-of-mood-and-anxiety-disorders</v>
      </c>
      <c r="G673" s="1" t="s">
        <v>2215</v>
      </c>
    </row>
    <row r="674" spans="1:7" ht="12.75" customHeight="1" x14ac:dyDescent="0.3">
      <c r="A674" s="1" t="s">
        <v>2216</v>
      </c>
      <c r="B674" s="1" t="s">
        <v>234</v>
      </c>
      <c r="C674" s="1" t="s">
        <v>2217</v>
      </c>
      <c r="D674" s="6">
        <v>1368</v>
      </c>
      <c r="E674" s="1" t="s">
        <v>156</v>
      </c>
      <c r="F674" s="2" t="str">
        <f>HYPERLINK("https://www.sciencedirect.com/journal/rare")</f>
        <v>https://www.sciencedirect.com/journal/rare</v>
      </c>
      <c r="G674" s="1" t="s">
        <v>2218</v>
      </c>
    </row>
    <row r="675" spans="1:7" ht="12.75" customHeight="1" x14ac:dyDescent="0.3">
      <c r="A675" s="1" t="s">
        <v>2219</v>
      </c>
      <c r="B675" s="1" t="s">
        <v>166</v>
      </c>
      <c r="C675" s="1" t="s">
        <v>2220</v>
      </c>
      <c r="D675" s="6">
        <v>1448</v>
      </c>
      <c r="E675" s="1" t="s">
        <v>156</v>
      </c>
      <c r="F675" s="2" t="str">
        <f>HYPERLINK("https://www.sciencedirect.com/journal/journal-of-cycling-and-micromobility-research")</f>
        <v>https://www.sciencedirect.com/journal/journal-of-cycling-and-micromobility-research</v>
      </c>
      <c r="G675" s="1" t="s">
        <v>2221</v>
      </c>
    </row>
    <row r="676" spans="1:7" ht="12.75" customHeight="1" x14ac:dyDescent="0.3">
      <c r="A676" s="1" t="s">
        <v>2222</v>
      </c>
      <c r="B676" s="1" t="s">
        <v>169</v>
      </c>
      <c r="C676" s="1" t="s">
        <v>2223</v>
      </c>
      <c r="D676" s="6">
        <v>1608</v>
      </c>
      <c r="E676" s="1" t="s">
        <v>156</v>
      </c>
      <c r="F676" s="2" t="str">
        <f>HYPERLINK("https://www.sciencedirect.com/journal/evolving-earth")</f>
        <v>https://www.sciencedirect.com/journal/evolving-earth</v>
      </c>
      <c r="G676" s="1" t="s">
        <v>2224</v>
      </c>
    </row>
    <row r="677" spans="1:7" ht="12.75" customHeight="1" x14ac:dyDescent="0.3">
      <c r="A677" s="1" t="s">
        <v>2225</v>
      </c>
      <c r="B677" s="1" t="s">
        <v>185</v>
      </c>
      <c r="C677" s="1" t="s">
        <v>2226</v>
      </c>
      <c r="D677" s="6">
        <v>1536</v>
      </c>
      <c r="E677" s="1" t="s">
        <v>156</v>
      </c>
      <c r="F677" s="2" t="str">
        <f>HYPERLINK("https://www.sciencedirect.com/journal/global-environmental-change-advances")</f>
        <v>https://www.sciencedirect.com/journal/global-environmental-change-advances</v>
      </c>
      <c r="G677" s="1" t="s">
        <v>2227</v>
      </c>
    </row>
    <row r="678" spans="1:7" ht="12.75" customHeight="1" x14ac:dyDescent="0.3">
      <c r="A678" s="1" t="s">
        <v>2228</v>
      </c>
      <c r="B678" s="1" t="s">
        <v>222</v>
      </c>
      <c r="C678" s="1" t="s">
        <v>2229</v>
      </c>
      <c r="D678" s="6">
        <v>1872</v>
      </c>
      <c r="E678" s="1" t="s">
        <v>158</v>
      </c>
      <c r="F678" s="2" t="str">
        <f>HYPERLINK("https://www.sciencedirect.com/journal/jhlt-open")</f>
        <v>https://www.sciencedirect.com/journal/jhlt-open</v>
      </c>
      <c r="G678" s="1" t="s">
        <v>2230</v>
      </c>
    </row>
    <row r="679" spans="1:7" ht="12.75" customHeight="1" x14ac:dyDescent="0.3">
      <c r="A679" s="1" t="s">
        <v>2231</v>
      </c>
      <c r="B679" s="1" t="s">
        <v>169</v>
      </c>
      <c r="C679" s="1" t="s">
        <v>2232</v>
      </c>
      <c r="D679" s="6">
        <v>808</v>
      </c>
      <c r="E679" s="1" t="s">
        <v>156</v>
      </c>
      <c r="F679" s="2" t="str">
        <f>HYPERLINK("https://www.sciencedirect.com/journal/results-in-earth-sciences")</f>
        <v>https://www.sciencedirect.com/journal/results-in-earth-sciences</v>
      </c>
      <c r="G679" s="1" t="s">
        <v>2233</v>
      </c>
    </row>
    <row r="680" spans="1:7" ht="12.75" customHeight="1" x14ac:dyDescent="0.3">
      <c r="A680" s="1" t="s">
        <v>2234</v>
      </c>
      <c r="B680" s="1" t="s">
        <v>179</v>
      </c>
      <c r="C680" s="1" t="s">
        <v>2235</v>
      </c>
      <c r="D680" s="6">
        <v>1608</v>
      </c>
      <c r="E680" s="1" t="s">
        <v>156</v>
      </c>
      <c r="F680" s="2" t="str">
        <f>HYPERLINK("https://www.sciencedirect.com/journal/energy-efficiency-first")</f>
        <v>https://www.sciencedirect.com/journal/energy-efficiency-first</v>
      </c>
      <c r="G680" s="1" t="s">
        <v>2236</v>
      </c>
    </row>
    <row r="681" spans="1:7" ht="12.75" customHeight="1" x14ac:dyDescent="0.3">
      <c r="A681" s="1" t="s">
        <v>2237</v>
      </c>
      <c r="B681" s="1" t="s">
        <v>1219</v>
      </c>
      <c r="C681" s="1" t="s">
        <v>2238</v>
      </c>
      <c r="D681" s="6">
        <v>3935.5</v>
      </c>
      <c r="E681" s="1" t="s">
        <v>158</v>
      </c>
      <c r="F681" s="2" t="str">
        <f>HYPERLINK("https://www.sciencedirect.com/journal/nexus")</f>
        <v>https://www.sciencedirect.com/journal/nexus</v>
      </c>
      <c r="G681" s="1" t="s">
        <v>2239</v>
      </c>
    </row>
    <row r="682" spans="1:7" ht="12.75" customHeight="1" x14ac:dyDescent="0.3">
      <c r="A682" s="1" t="s">
        <v>2240</v>
      </c>
      <c r="B682" s="1" t="s">
        <v>309</v>
      </c>
      <c r="C682" s="1" t="s">
        <v>2241</v>
      </c>
      <c r="D682" s="6">
        <v>1648</v>
      </c>
      <c r="E682" s="1" t="s">
        <v>158</v>
      </c>
      <c r="F682" s="2" t="str">
        <f>HYPERLINK("https://www.sciencedirect.com/journal/child-protection-and-practice")</f>
        <v>https://www.sciencedirect.com/journal/child-protection-and-practice</v>
      </c>
      <c r="G682" s="1" t="s">
        <v>2242</v>
      </c>
    </row>
    <row r="683" spans="1:7" ht="12.75" customHeight="1" x14ac:dyDescent="0.3">
      <c r="A683" s="1" t="s">
        <v>2243</v>
      </c>
      <c r="B683" s="1" t="s">
        <v>107</v>
      </c>
      <c r="C683" s="1" t="s">
        <v>2244</v>
      </c>
      <c r="D683" s="6">
        <v>1872</v>
      </c>
      <c r="E683" s="1" t="s">
        <v>158</v>
      </c>
      <c r="F683" s="2" t="str">
        <f>HYPERLINK("https://www.sciencedirect.com/journal/molecules-and-cells")</f>
        <v>https://www.sciencedirect.com/journal/molecules-and-cells</v>
      </c>
      <c r="G683" s="1" t="s">
        <v>2245</v>
      </c>
    </row>
    <row r="684" spans="1:7" ht="12.75" customHeight="1" x14ac:dyDescent="0.3">
      <c r="A684" s="1" t="s">
        <v>2246</v>
      </c>
      <c r="B684" s="1" t="s">
        <v>247</v>
      </c>
      <c r="C684" s="1" t="s">
        <v>2247</v>
      </c>
      <c r="D684" s="6">
        <v>1608</v>
      </c>
      <c r="E684" s="1" t="s">
        <v>156</v>
      </c>
      <c r="F684" s="2" t="str">
        <f>HYPERLINK("https://www.sciencedirect.com/journal/the-microbe")</f>
        <v>https://www.sciencedirect.com/journal/the-microbe</v>
      </c>
      <c r="G684" s="1" t="s">
        <v>2248</v>
      </c>
    </row>
    <row r="685" spans="1:7" ht="12.75" customHeight="1" x14ac:dyDescent="0.3">
      <c r="A685" s="1" t="s">
        <v>2249</v>
      </c>
      <c r="B685" s="1" t="s">
        <v>222</v>
      </c>
      <c r="C685" s="1" t="s">
        <v>2250</v>
      </c>
      <c r="D685" s="6">
        <v>1520</v>
      </c>
      <c r="E685" s="1" t="s">
        <v>158</v>
      </c>
      <c r="F685" s="2" t="str">
        <f>HYPERLINK("https://www.sciencedirect.com/journal/the-journal-of-liquid-biopsy")</f>
        <v>https://www.sciencedirect.com/journal/the-journal-of-liquid-biopsy</v>
      </c>
      <c r="G685" s="1" t="s">
        <v>2251</v>
      </c>
    </row>
    <row r="686" spans="1:7" ht="12.75" customHeight="1" x14ac:dyDescent="0.3">
      <c r="A686" s="1" t="s">
        <v>2252</v>
      </c>
      <c r="B686" s="1" t="s">
        <v>222</v>
      </c>
      <c r="C686" s="1" t="s">
        <v>2253</v>
      </c>
      <c r="D686" s="6">
        <v>1496</v>
      </c>
      <c r="E686" s="1" t="s">
        <v>158</v>
      </c>
      <c r="F686" s="2" t="str">
        <f>HYPERLINK("https://www.sciencedirect.com/journal/jaad-reviews")</f>
        <v>https://www.sciencedirect.com/journal/jaad-reviews</v>
      </c>
      <c r="G686" s="1" t="s">
        <v>2254</v>
      </c>
    </row>
    <row r="687" spans="1:7" ht="12.75" customHeight="1" x14ac:dyDescent="0.3">
      <c r="A687" s="1" t="s">
        <v>2255</v>
      </c>
      <c r="B687" s="1" t="s">
        <v>315</v>
      </c>
      <c r="C687" s="1" t="s">
        <v>2256</v>
      </c>
      <c r="D687" s="6">
        <v>2208</v>
      </c>
      <c r="E687" s="1" t="s">
        <v>156</v>
      </c>
      <c r="F687" s="2" t="str">
        <f>HYPERLINK("https://www.sciencedirect.com/journal/innovative-practice-in-breast-health")</f>
        <v>https://www.sciencedirect.com/journal/innovative-practice-in-breast-health</v>
      </c>
      <c r="G687" s="1" t="s">
        <v>2257</v>
      </c>
    </row>
    <row r="688" spans="1:7" ht="12.75" customHeight="1" x14ac:dyDescent="0.3">
      <c r="A688" s="1" t="s">
        <v>2258</v>
      </c>
      <c r="B688" s="1" t="s">
        <v>222</v>
      </c>
      <c r="C688" s="1" t="s">
        <v>2259</v>
      </c>
      <c r="D688" s="6">
        <v>600</v>
      </c>
      <c r="E688" s="1" t="s">
        <v>158</v>
      </c>
      <c r="F688" s="2" t="str">
        <f>HYPERLINK("https://www.sciencedirect.com/journal/brain-and-development-case-reports")</f>
        <v>https://www.sciencedirect.com/journal/brain-and-development-case-reports</v>
      </c>
      <c r="G688" s="1" t="s">
        <v>2260</v>
      </c>
    </row>
    <row r="689" spans="1:7" ht="12.75" customHeight="1" x14ac:dyDescent="0.3">
      <c r="A689" s="1" t="s">
        <v>2261</v>
      </c>
      <c r="B689" s="1" t="s">
        <v>166</v>
      </c>
      <c r="C689" s="1" t="s">
        <v>2262</v>
      </c>
      <c r="D689" s="6">
        <v>1276.8</v>
      </c>
      <c r="E689" s="1" t="s">
        <v>158</v>
      </c>
      <c r="F689" s="2" t="str">
        <f>HYPERLINK("https://www.sciencedirect.com/journal/regional-science-policy-and-practice")</f>
        <v>https://www.sciencedirect.com/journal/regional-science-policy-and-practice</v>
      </c>
      <c r="G689" s="1" t="s">
        <v>2263</v>
      </c>
    </row>
    <row r="690" spans="1:7" ht="12.75" customHeight="1" x14ac:dyDescent="0.3">
      <c r="A690" s="1" t="s">
        <v>2264</v>
      </c>
      <c r="B690" s="1" t="s">
        <v>196</v>
      </c>
      <c r="C690" s="1" t="s">
        <v>2265</v>
      </c>
      <c r="D690" s="6">
        <v>2000</v>
      </c>
      <c r="E690" s="1" t="s">
        <v>158</v>
      </c>
      <c r="F690" s="2" t="str">
        <f>HYPERLINK("https://www.sciencedirect.com/journal/papers-in-regional-science")</f>
        <v>https://www.sciencedirect.com/journal/papers-in-regional-science</v>
      </c>
      <c r="G690" s="1" t="s">
        <v>2266</v>
      </c>
    </row>
    <row r="691" spans="1:7" ht="12.75" customHeight="1" x14ac:dyDescent="0.3">
      <c r="A691" s="1" t="s">
        <v>2267</v>
      </c>
      <c r="B691" s="1" t="s">
        <v>222</v>
      </c>
      <c r="C691" s="1" t="s">
        <v>2268</v>
      </c>
      <c r="D691" s="6">
        <v>1720</v>
      </c>
      <c r="E691" s="1" t="s">
        <v>158</v>
      </c>
      <c r="F691" s="2" t="str">
        <f>HYPERLINK("https://www.sciencedirect.com/journal/surgical-oncology-insight")</f>
        <v>https://www.sciencedirect.com/journal/surgical-oncology-insight</v>
      </c>
      <c r="G691" s="1" t="s">
        <v>2269</v>
      </c>
    </row>
    <row r="692" spans="1:7" ht="12.75" customHeight="1" x14ac:dyDescent="0.3">
      <c r="A692" s="1" t="s">
        <v>2270</v>
      </c>
      <c r="B692" s="1" t="s">
        <v>2271</v>
      </c>
      <c r="C692" s="1" t="s">
        <v>2272</v>
      </c>
      <c r="D692" s="6">
        <v>1272</v>
      </c>
      <c r="E692" s="1" t="s">
        <v>158</v>
      </c>
      <c r="F692" s="2" t="str">
        <f>HYPERLINK("https://www.sciencedirect.com/journal/quaternary-environments-and-humans")</f>
        <v>https://www.sciencedirect.com/journal/quaternary-environments-and-humans</v>
      </c>
      <c r="G692" s="1" t="s">
        <v>2273</v>
      </c>
    </row>
    <row r="693" spans="1:7" ht="12.75" customHeight="1" x14ac:dyDescent="0.3">
      <c r="A693" s="1" t="s">
        <v>2274</v>
      </c>
      <c r="B693" s="1" t="s">
        <v>416</v>
      </c>
      <c r="C693" s="1" t="s">
        <v>2275</v>
      </c>
      <c r="D693" s="6">
        <v>968</v>
      </c>
      <c r="E693" s="1" t="s">
        <v>156</v>
      </c>
      <c r="F693" s="2" t="str">
        <f>HYPERLINK("https://www.sciencedirect.com/journal/cleaner-water")</f>
        <v>https://www.sciencedirect.com/journal/cleaner-water</v>
      </c>
      <c r="G693" s="1" t="s">
        <v>2276</v>
      </c>
    </row>
    <row r="694" spans="1:7" ht="12.75" customHeight="1" x14ac:dyDescent="0.3">
      <c r="A694" s="1" t="s">
        <v>2277</v>
      </c>
      <c r="B694" s="1" t="s">
        <v>222</v>
      </c>
      <c r="C694" s="1" t="s">
        <v>2278</v>
      </c>
      <c r="D694" s="6">
        <v>1384</v>
      </c>
      <c r="E694" s="1" t="s">
        <v>156</v>
      </c>
      <c r="F694" s="2" t="str">
        <f>HYPERLINK("https://www.sciencedirect.com/journal/ajo-international")</f>
        <v>https://www.sciencedirect.com/journal/ajo-international</v>
      </c>
      <c r="G694" s="1" t="s">
        <v>2279</v>
      </c>
    </row>
    <row r="695" spans="1:7" ht="12.75" customHeight="1" x14ac:dyDescent="0.3">
      <c r="A695" s="1" t="s">
        <v>2280</v>
      </c>
      <c r="B695" s="1" t="s">
        <v>229</v>
      </c>
      <c r="C695" s="1" t="s">
        <v>2281</v>
      </c>
      <c r="D695" s="6">
        <v>2584</v>
      </c>
      <c r="E695" s="1" t="s">
        <v>158</v>
      </c>
      <c r="F695" s="2" t="str">
        <f>HYPERLINK("https://www.sciencedirect.com/journal/the-journal-of-nutrition-health-and-aging")</f>
        <v>https://www.sciencedirect.com/journal/the-journal-of-nutrition-health-and-aging</v>
      </c>
      <c r="G695" s="1" t="s">
        <v>2282</v>
      </c>
    </row>
    <row r="696" spans="1:7" ht="12.75" customHeight="1" x14ac:dyDescent="0.3">
      <c r="A696" s="1" t="s">
        <v>2283</v>
      </c>
      <c r="B696" s="1" t="s">
        <v>179</v>
      </c>
      <c r="C696" s="1" t="s">
        <v>2284</v>
      </c>
      <c r="D696" s="6">
        <v>1456</v>
      </c>
      <c r="E696" s="1" t="s">
        <v>156</v>
      </c>
      <c r="F696" s="2" t="str">
        <f>HYPERLINK("https://www.sciencedirect.com/journal/future-batteries")</f>
        <v>https://www.sciencedirect.com/journal/future-batteries</v>
      </c>
      <c r="G696" s="1" t="s">
        <v>2285</v>
      </c>
    </row>
    <row r="697" spans="1:7" ht="12.75" customHeight="1" x14ac:dyDescent="0.3">
      <c r="A697" s="1" t="s">
        <v>2286</v>
      </c>
      <c r="B697" s="1" t="s">
        <v>210</v>
      </c>
      <c r="C697" s="1" t="s">
        <v>2287</v>
      </c>
      <c r="D697" s="6">
        <v>2176</v>
      </c>
      <c r="E697" s="1" t="s">
        <v>156</v>
      </c>
      <c r="F697" s="2" t="str">
        <f>HYPERLINK("https://www.sciencedirect.com/journal/materials-today-quantum")</f>
        <v>https://www.sciencedirect.com/journal/materials-today-quantum</v>
      </c>
      <c r="G697" s="1" t="s">
        <v>2288</v>
      </c>
    </row>
    <row r="698" spans="1:7" ht="12.75" customHeight="1" x14ac:dyDescent="0.3">
      <c r="A698" s="1" t="s">
        <v>2289</v>
      </c>
      <c r="B698" s="1" t="s">
        <v>222</v>
      </c>
      <c r="C698" s="1" t="s">
        <v>2290</v>
      </c>
      <c r="D698" s="6">
        <v>688</v>
      </c>
      <c r="E698" s="1" t="s">
        <v>156</v>
      </c>
      <c r="F698" s="2" t="str">
        <f>HYPERLINK("https://www.sciencedirect.com/journal/cardiovascular-revascularization-medicine-interesting-cases")</f>
        <v>https://www.sciencedirect.com/journal/cardiovascular-revascularization-medicine-interesting-cases</v>
      </c>
      <c r="G698" s="1" t="s">
        <v>2291</v>
      </c>
    </row>
    <row r="699" spans="1:7" ht="12.75" customHeight="1" x14ac:dyDescent="0.3">
      <c r="A699" s="1" t="s">
        <v>2292</v>
      </c>
      <c r="B699" s="1" t="s">
        <v>222</v>
      </c>
      <c r="C699" s="1" t="s">
        <v>2293</v>
      </c>
      <c r="D699" s="6">
        <v>1456</v>
      </c>
      <c r="E699" s="1" t="s">
        <v>158</v>
      </c>
      <c r="F699" s="2" t="str">
        <f>HYPERLINK("https://www.sciencedirect.com/journal/asia-pacific-journal-of-ophthalmology")</f>
        <v>https://www.sciencedirect.com/journal/asia-pacific-journal-of-ophthalmology</v>
      </c>
      <c r="G699" s="1" t="s">
        <v>2294</v>
      </c>
    </row>
    <row r="700" spans="1:7" ht="12.75" customHeight="1" x14ac:dyDescent="0.3">
      <c r="A700" s="1" t="s">
        <v>2295</v>
      </c>
      <c r="B700" s="1" t="s">
        <v>107</v>
      </c>
      <c r="C700" s="1" t="s">
        <v>2296</v>
      </c>
      <c r="D700" s="6">
        <v>2136</v>
      </c>
      <c r="E700" s="1" t="s">
        <v>158</v>
      </c>
      <c r="F700" s="2" t="str">
        <f>HYPERLINK("https://www.sciencedirect.com/journal/cell-stress-and-chaperones")</f>
        <v>https://www.sciencedirect.com/journal/cell-stress-and-chaperones</v>
      </c>
      <c r="G700" s="1" t="s">
        <v>2297</v>
      </c>
    </row>
    <row r="701" spans="1:7" ht="12.75" customHeight="1" x14ac:dyDescent="0.3">
      <c r="A701" s="1" t="s">
        <v>2298</v>
      </c>
      <c r="B701" s="1" t="s">
        <v>222</v>
      </c>
      <c r="C701" s="1" t="s">
        <v>2299</v>
      </c>
      <c r="D701" s="6">
        <v>1424</v>
      </c>
      <c r="E701" s="1" t="s">
        <v>158</v>
      </c>
      <c r="F701" s="2" t="str">
        <f>HYPERLINK("https://www.sciencedirect.com/journal/thyroid-science")</f>
        <v>https://www.sciencedirect.com/journal/thyroid-science</v>
      </c>
      <c r="G701" s="1" t="s">
        <v>2300</v>
      </c>
    </row>
    <row r="702" spans="1:7" ht="12.75" customHeight="1" x14ac:dyDescent="0.3">
      <c r="A702" s="1" t="s">
        <v>2301</v>
      </c>
      <c r="B702" s="1" t="s">
        <v>168</v>
      </c>
      <c r="C702" s="1" t="s">
        <v>2302</v>
      </c>
      <c r="D702" s="6">
        <v>1448</v>
      </c>
      <c r="E702" s="1" t="s">
        <v>156</v>
      </c>
      <c r="F702" s="2" t="str">
        <f>HYPERLINK("https://www.sciencedirect.com/journal/soil-advances")</f>
        <v>https://www.sciencedirect.com/journal/soil-advances</v>
      </c>
      <c r="G702" s="1" t="s">
        <v>2303</v>
      </c>
    </row>
    <row r="703" spans="1:7" ht="12.75" customHeight="1" x14ac:dyDescent="0.3">
      <c r="A703" s="1" t="s">
        <v>2304</v>
      </c>
      <c r="B703" s="1" t="s">
        <v>166</v>
      </c>
      <c r="C703" s="1" t="s">
        <v>2305</v>
      </c>
      <c r="D703" s="6">
        <v>872</v>
      </c>
      <c r="E703" s="1" t="s">
        <v>156</v>
      </c>
      <c r="F703" s="2" t="str">
        <f>HYPERLINK("https://www.sciencedirect.com/journal/european-transport-studies")</f>
        <v>https://www.sciencedirect.com/journal/european-transport-studies</v>
      </c>
      <c r="G703" s="1" t="s">
        <v>2306</v>
      </c>
    </row>
    <row r="704" spans="1:7" ht="12.75" customHeight="1" x14ac:dyDescent="0.3">
      <c r="A704" s="1" t="s">
        <v>2307</v>
      </c>
      <c r="B704" s="1" t="s">
        <v>2308</v>
      </c>
      <c r="C704" s="1" t="s">
        <v>2309</v>
      </c>
      <c r="D704" s="6">
        <v>1760</v>
      </c>
      <c r="E704" s="1" t="s">
        <v>158</v>
      </c>
      <c r="F704" s="2" t="str">
        <f>HYPERLINK("https://www.sciencedirect.com/journal/journal-of-allergy-and-hypersensitivity-diseases")</f>
        <v>https://www.sciencedirect.com/journal/journal-of-allergy-and-hypersensitivity-diseases</v>
      </c>
      <c r="G704" s="1" t="s">
        <v>2310</v>
      </c>
    </row>
    <row r="705" spans="1:7" ht="12.75" customHeight="1" x14ac:dyDescent="0.3">
      <c r="A705" s="1" t="s">
        <v>2311</v>
      </c>
      <c r="B705" s="1" t="s">
        <v>571</v>
      </c>
      <c r="C705" s="1" t="s">
        <v>2312</v>
      </c>
      <c r="D705" s="6">
        <v>1688</v>
      </c>
      <c r="E705" s="1" t="s">
        <v>156</v>
      </c>
      <c r="F705" s="2" t="str">
        <f>HYPERLINK("https://www.sciencedirect.com/journal/archives-of-gerontology-and-geriatrics-plus")</f>
        <v>https://www.sciencedirect.com/journal/archives-of-gerontology-and-geriatrics-plus</v>
      </c>
      <c r="G705" s="1" t="s">
        <v>2313</v>
      </c>
    </row>
    <row r="706" spans="1:7" ht="12.75" customHeight="1" x14ac:dyDescent="0.3">
      <c r="A706" s="1" t="s">
        <v>2314</v>
      </c>
      <c r="B706" s="1" t="s">
        <v>226</v>
      </c>
      <c r="C706" s="1" t="s">
        <v>2315</v>
      </c>
      <c r="D706" s="6">
        <v>1688</v>
      </c>
      <c r="E706" s="1" t="s">
        <v>156</v>
      </c>
      <c r="F706" s="2" t="str">
        <f>HYPERLINK("https://www.sciencedirect.com/journal/measurement-energy")</f>
        <v>https://www.sciencedirect.com/journal/measurement-energy</v>
      </c>
      <c r="G706" s="1" t="s">
        <v>2316</v>
      </c>
    </row>
    <row r="707" spans="1:7" ht="12.75" customHeight="1" x14ac:dyDescent="0.3">
      <c r="A707" s="1" t="s">
        <v>2317</v>
      </c>
      <c r="B707" s="1" t="s">
        <v>179</v>
      </c>
      <c r="C707" s="1" t="s">
        <v>2318</v>
      </c>
      <c r="D707" s="6">
        <v>1536</v>
      </c>
      <c r="E707" s="1" t="s">
        <v>156</v>
      </c>
      <c r="F707" s="2" t="str">
        <f>HYPERLINK("https://www.sciencedirect.com/journal/wind-energy-and-engineering-research")</f>
        <v>https://www.sciencedirect.com/journal/wind-energy-and-engineering-research</v>
      </c>
      <c r="G707" s="1" t="s">
        <v>2319</v>
      </c>
    </row>
    <row r="708" spans="1:7" ht="12.75" customHeight="1" x14ac:dyDescent="0.3">
      <c r="A708" s="1" t="s">
        <v>2320</v>
      </c>
      <c r="B708" s="1" t="s">
        <v>2321</v>
      </c>
      <c r="C708" s="1" t="s">
        <v>2322</v>
      </c>
      <c r="D708" s="6">
        <v>1344</v>
      </c>
      <c r="E708" s="1" t="s">
        <v>158</v>
      </c>
      <c r="F708" s="2" t="str">
        <f>HYPERLINK("https://www.sciencedirect.com/journal/indoor-environments")</f>
        <v>https://www.sciencedirect.com/journal/indoor-environments</v>
      </c>
      <c r="G708" s="1" t="s">
        <v>2323</v>
      </c>
    </row>
    <row r="709" spans="1:7" ht="12.75" customHeight="1" x14ac:dyDescent="0.3">
      <c r="A709" s="1" t="s">
        <v>2324</v>
      </c>
      <c r="B709" s="1" t="s">
        <v>187</v>
      </c>
      <c r="C709" s="1" t="s">
        <v>2325</v>
      </c>
      <c r="D709" s="6">
        <v>1536</v>
      </c>
      <c r="E709" s="1" t="s">
        <v>156</v>
      </c>
      <c r="F709" s="2" t="str">
        <f>HYPERLINK("https://www.sciencedirect.com/journal/glial-health-research")</f>
        <v>https://www.sciencedirect.com/journal/glial-health-research</v>
      </c>
      <c r="G709" s="1" t="s">
        <v>2326</v>
      </c>
    </row>
    <row r="710" spans="1:7" ht="12.75" customHeight="1" x14ac:dyDescent="0.3">
      <c r="A710" s="1" t="s">
        <v>2327</v>
      </c>
      <c r="B710" s="1" t="s">
        <v>107</v>
      </c>
      <c r="C710" s="1" t="s">
        <v>2328</v>
      </c>
      <c r="D710" s="6">
        <v>1640</v>
      </c>
      <c r="E710" s="1" t="s">
        <v>158</v>
      </c>
      <c r="F710" s="2" t="str">
        <f>HYPERLINK("https://www.sciencedirect.com/journal/computational-and-structural-biotechnology-reports")</f>
        <v>https://www.sciencedirect.com/journal/computational-and-structural-biotechnology-reports</v>
      </c>
      <c r="G710" s="1" t="s">
        <v>2329</v>
      </c>
    </row>
    <row r="711" spans="1:7" ht="12.75" customHeight="1" x14ac:dyDescent="0.3">
      <c r="A711" s="1" t="s">
        <v>2330</v>
      </c>
      <c r="B711" s="1" t="s">
        <v>222</v>
      </c>
      <c r="C711" s="1" t="s">
        <v>2331</v>
      </c>
      <c r="D711" s="6">
        <v>2024</v>
      </c>
      <c r="E711" s="1" t="s">
        <v>158</v>
      </c>
      <c r="F711" s="2" t="str">
        <f>HYPERLINK("https://www.sciencedirect.com/journal/the-american-journal-of-geriatric-psychiatry-open-science-education-and-practice")</f>
        <v>https://www.sciencedirect.com/journal/the-american-journal-of-geriatric-psychiatry-open-science-education-and-practice</v>
      </c>
      <c r="G711" s="1" t="s">
        <v>2332</v>
      </c>
    </row>
    <row r="712" spans="1:7" ht="12.75" customHeight="1" x14ac:dyDescent="0.3">
      <c r="A712" s="1" t="s">
        <v>2333</v>
      </c>
      <c r="B712" s="1" t="s">
        <v>222</v>
      </c>
      <c r="C712" s="1" t="s">
        <v>2334</v>
      </c>
      <c r="D712" s="6">
        <v>2248</v>
      </c>
      <c r="E712" s="1" t="s">
        <v>158</v>
      </c>
      <c r="F712" s="2" t="str">
        <f>HYPERLINK("https://www.sciencedirect.com/journal/journal-of-cardiovascular-magnetic-resonance")</f>
        <v>https://www.sciencedirect.com/journal/journal-of-cardiovascular-magnetic-resonance</v>
      </c>
      <c r="G712" s="1" t="s">
        <v>2335</v>
      </c>
    </row>
    <row r="713" spans="1:7" ht="12.75" customHeight="1" x14ac:dyDescent="0.3">
      <c r="A713" s="1" t="s">
        <v>2336</v>
      </c>
      <c r="B713" s="1" t="s">
        <v>210</v>
      </c>
      <c r="C713" s="1" t="s">
        <v>2337</v>
      </c>
      <c r="D713" s="6">
        <v>2360</v>
      </c>
      <c r="E713" s="1" t="s">
        <v>156</v>
      </c>
      <c r="F713" s="2" t="str">
        <f>HYPERLINK("https://www.sciencedirect.com/journal/computational-materials-today")</f>
        <v>https://www.sciencedirect.com/journal/computational-materials-today</v>
      </c>
      <c r="G713" s="1" t="s">
        <v>2338</v>
      </c>
    </row>
    <row r="714" spans="1:7" ht="12.75" customHeight="1" x14ac:dyDescent="0.3">
      <c r="A714" s="1" t="s">
        <v>2339</v>
      </c>
      <c r="B714" s="1" t="s">
        <v>222</v>
      </c>
      <c r="C714" s="1" t="s">
        <v>2340</v>
      </c>
      <c r="D714" s="6">
        <v>1872</v>
      </c>
      <c r="E714" s="1" t="s">
        <v>158</v>
      </c>
      <c r="F714" s="2" t="str">
        <f>HYPERLINK("https://www.sciencedirect.com/journal/clinical-medicine")</f>
        <v>https://www.sciencedirect.com/journal/clinical-medicine</v>
      </c>
      <c r="G714" s="1" t="s">
        <v>2341</v>
      </c>
    </row>
    <row r="715" spans="1:7" ht="12.75" customHeight="1" x14ac:dyDescent="0.3">
      <c r="A715" s="1" t="s">
        <v>2342</v>
      </c>
      <c r="B715" s="1" t="s">
        <v>222</v>
      </c>
      <c r="C715" s="1" t="s">
        <v>2343</v>
      </c>
      <c r="D715" s="6">
        <v>1496</v>
      </c>
      <c r="E715" s="1" t="s">
        <v>158</v>
      </c>
      <c r="F715" s="2" t="str">
        <f>HYPERLINK("https://www.sciencedirect.com/journal/future-healthcare-journal")</f>
        <v>https://www.sciencedirect.com/journal/future-healthcare-journal</v>
      </c>
      <c r="G715" s="1" t="s">
        <v>2344</v>
      </c>
    </row>
    <row r="716" spans="1:7" ht="12.75" customHeight="1" x14ac:dyDescent="0.3">
      <c r="A716" s="1" t="s">
        <v>2345</v>
      </c>
      <c r="B716" s="1" t="s">
        <v>222</v>
      </c>
      <c r="C716" s="1" t="s">
        <v>2346</v>
      </c>
      <c r="D716" s="6">
        <v>2056</v>
      </c>
      <c r="E716" s="1" t="s">
        <v>158</v>
      </c>
      <c r="F716" s="2" t="str">
        <f>HYPERLINK("https://www.sciencedirect.com/journal/intestinal-failure")</f>
        <v>https://www.sciencedirect.com/journal/intestinal-failure</v>
      </c>
      <c r="G716" s="1" t="s">
        <v>2347</v>
      </c>
    </row>
    <row r="717" spans="1:7" ht="12.75" customHeight="1" x14ac:dyDescent="0.3">
      <c r="A717" s="1" t="s">
        <v>2348</v>
      </c>
      <c r="B717" s="1" t="s">
        <v>222</v>
      </c>
      <c r="C717" s="1" t="s">
        <v>2349</v>
      </c>
      <c r="D717" s="6">
        <v>1272</v>
      </c>
      <c r="E717" s="1" t="s">
        <v>158</v>
      </c>
      <c r="F717" s="2" t="str">
        <f>HYPERLINK("https://www.sciencedirect.com/journal/international-journal-of-particle-therapy")</f>
        <v>https://www.sciencedirect.com/journal/international-journal-of-particle-therapy</v>
      </c>
      <c r="G717" s="1" t="s">
        <v>2350</v>
      </c>
    </row>
    <row r="718" spans="1:7" ht="12.75" customHeight="1" x14ac:dyDescent="0.3">
      <c r="A718" s="1" t="s">
        <v>2351</v>
      </c>
      <c r="B718" s="1" t="s">
        <v>171</v>
      </c>
      <c r="C718" s="1" t="s">
        <v>2352</v>
      </c>
      <c r="D718" s="6">
        <v>1608</v>
      </c>
      <c r="E718" s="1" t="s">
        <v>156</v>
      </c>
      <c r="F718" s="2" t="str">
        <f>HYPERLINK("https://www.sciencedirect.com/journal/global-and-earth-surface-processes-change")</f>
        <v>https://www.sciencedirect.com/journal/global-and-earth-surface-processes-change</v>
      </c>
      <c r="G718" s="1" t="s">
        <v>2353</v>
      </c>
    </row>
    <row r="719" spans="1:7" ht="12.75" customHeight="1" x14ac:dyDescent="0.3">
      <c r="A719" s="1" t="s">
        <v>2354</v>
      </c>
      <c r="B719" s="1" t="s">
        <v>171</v>
      </c>
      <c r="C719" s="1" t="s">
        <v>2355</v>
      </c>
      <c r="D719" s="6">
        <v>1728</v>
      </c>
      <c r="E719" s="1" t="s">
        <v>156</v>
      </c>
      <c r="F719" s="2" t="str">
        <f>HYPERLINK("https://www.sciencedirect.com/journal/earth-history-and-biodiversity")</f>
        <v>https://www.sciencedirect.com/journal/earth-history-and-biodiversity</v>
      </c>
      <c r="G719" s="1" t="s">
        <v>2356</v>
      </c>
    </row>
    <row r="720" spans="1:7" ht="12.75" customHeight="1" x14ac:dyDescent="0.3">
      <c r="A720" s="1" t="s">
        <v>2357</v>
      </c>
      <c r="B720" s="1" t="s">
        <v>222</v>
      </c>
      <c r="C720" s="1" t="s">
        <v>2358</v>
      </c>
      <c r="D720" s="6">
        <v>1120</v>
      </c>
      <c r="E720" s="1" t="s">
        <v>386</v>
      </c>
      <c r="F720" s="2" t="str">
        <f>HYPERLINK("https://www.sciencedirect.com/journal/journal-of-the-pediatric-orthopaedic-society-of-north-america")</f>
        <v>https://www.sciencedirect.com/journal/journal-of-the-pediatric-orthopaedic-society-of-north-america</v>
      </c>
      <c r="G720" s="1" t="s">
        <v>2359</v>
      </c>
    </row>
    <row r="721" spans="1:7" ht="12.75" customHeight="1" x14ac:dyDescent="0.3">
      <c r="A721" s="1" t="s">
        <v>2360</v>
      </c>
      <c r="B721" s="1" t="s">
        <v>164</v>
      </c>
      <c r="C721" s="1" t="s">
        <v>2361</v>
      </c>
      <c r="D721" s="6">
        <v>1448</v>
      </c>
      <c r="E721" s="1" t="s">
        <v>156</v>
      </c>
      <c r="F721" s="2" t="str">
        <f>HYPERLINK("https://www.sciencedirect.com/journal/sustainable-chemistry-for-energy-materials")</f>
        <v>https://www.sciencedirect.com/journal/sustainable-chemistry-for-energy-materials</v>
      </c>
      <c r="G721" s="1" t="s">
        <v>2362</v>
      </c>
    </row>
    <row r="722" spans="1:7" ht="12.75" customHeight="1" x14ac:dyDescent="0.3">
      <c r="A722" s="1" t="s">
        <v>2363</v>
      </c>
      <c r="B722" s="1" t="s">
        <v>309</v>
      </c>
      <c r="C722" s="1" t="s">
        <v>2364</v>
      </c>
      <c r="D722" s="6">
        <v>1728</v>
      </c>
      <c r="E722" s="1" t="s">
        <v>158</v>
      </c>
      <c r="F722" s="2" t="str">
        <f>HYPERLINK("https://www.sciencedirect.com/journal/psychedelics")</f>
        <v>https://www.sciencedirect.com/journal/psychedelics</v>
      </c>
      <c r="G722" s="1" t="s">
        <v>2365</v>
      </c>
    </row>
    <row r="723" spans="1:7" ht="12.75" customHeight="1" x14ac:dyDescent="0.3">
      <c r="A723" s="1" t="s">
        <v>2366</v>
      </c>
      <c r="B723" s="1" t="s">
        <v>164</v>
      </c>
      <c r="C723" s="1" t="s">
        <v>2367</v>
      </c>
      <c r="D723" s="6">
        <v>1096</v>
      </c>
      <c r="E723" s="1" t="s">
        <v>156</v>
      </c>
      <c r="F723" s="2" t="str">
        <f>HYPERLINK("https://www.sciencedirect.com/journal/coordination-chemistry-research")</f>
        <v>https://www.sciencedirect.com/journal/coordination-chemistry-research</v>
      </c>
      <c r="G723" s="1" t="s">
        <v>2368</v>
      </c>
    </row>
    <row r="724" spans="1:7" ht="12.75" customHeight="1" x14ac:dyDescent="0.3">
      <c r="A724" s="1" t="s">
        <v>2369</v>
      </c>
      <c r="B724" s="1" t="s">
        <v>169</v>
      </c>
      <c r="C724" s="1" t="s">
        <v>2370</v>
      </c>
      <c r="D724" s="6">
        <v>1568</v>
      </c>
      <c r="E724" s="1" t="s">
        <v>156</v>
      </c>
      <c r="F724" s="2" t="str">
        <f>HYPERLINK("https://www.sciencedirect.com/journal/sustainable-geosciences-people-planet-and-prosperity")</f>
        <v>https://www.sciencedirect.com/journal/sustainable-geosciences-people-planet-and-prosperity</v>
      </c>
      <c r="G724" s="1" t="s">
        <v>2371</v>
      </c>
    </row>
    <row r="725" spans="1:7" ht="12.75" customHeight="1" x14ac:dyDescent="0.3">
      <c r="A725" s="1" t="s">
        <v>2372</v>
      </c>
      <c r="B725" s="1" t="s">
        <v>268</v>
      </c>
      <c r="C725" s="1" t="s">
        <v>2373</v>
      </c>
      <c r="D725" s="6">
        <v>1048</v>
      </c>
      <c r="E725" s="1" t="s">
        <v>156</v>
      </c>
      <c r="F725" s="2" t="str">
        <f>HYPERLINK("https://www.sciencedirect.com/journal/desalination-and-water-treatment")</f>
        <v>https://www.sciencedirect.com/journal/desalination-and-water-treatment</v>
      </c>
      <c r="G725" s="1" t="s">
        <v>2374</v>
      </c>
    </row>
    <row r="726" spans="1:7" ht="12.75" customHeight="1" x14ac:dyDescent="0.3">
      <c r="A726" s="1" t="s">
        <v>2375</v>
      </c>
      <c r="B726" s="1" t="s">
        <v>2376</v>
      </c>
      <c r="C726" s="1" t="s">
        <v>2377</v>
      </c>
      <c r="D726" s="6">
        <v>1944</v>
      </c>
      <c r="E726" s="1" t="s">
        <v>158</v>
      </c>
      <c r="F726" s="2" t="str">
        <f>HYPERLINK("https://www.sciencedirect.com/journal/jacep-open")</f>
        <v>https://www.sciencedirect.com/journal/jacep-open</v>
      </c>
      <c r="G726" s="1" t="s">
        <v>2378</v>
      </c>
    </row>
    <row r="727" spans="1:7" ht="12.75" customHeight="1" x14ac:dyDescent="0.3">
      <c r="A727" s="1" t="s">
        <v>2379</v>
      </c>
      <c r="B727" s="1" t="s">
        <v>171</v>
      </c>
      <c r="C727" s="1" t="s">
        <v>2380</v>
      </c>
      <c r="D727" s="6">
        <v>1296</v>
      </c>
      <c r="E727" s="1" t="s">
        <v>158</v>
      </c>
      <c r="F727" s="2" t="str">
        <f>HYPERLINK("https://www.sciencedirect.com/journal/geomatica")</f>
        <v>https://www.sciencedirect.com/journal/geomatica</v>
      </c>
      <c r="G727" s="1" t="s">
        <v>2381</v>
      </c>
    </row>
    <row r="728" spans="1:7" ht="12.75" customHeight="1" x14ac:dyDescent="0.3">
      <c r="A728" s="1" t="s">
        <v>2382</v>
      </c>
      <c r="B728" s="1" t="s">
        <v>218</v>
      </c>
      <c r="C728" s="1" t="s">
        <v>2383</v>
      </c>
      <c r="D728" s="6">
        <v>1368</v>
      </c>
      <c r="E728" s="1" t="s">
        <v>156</v>
      </c>
      <c r="F728" s="2" t="str">
        <f>HYPERLINK("https://www.sciencedirect.com/journal/digital-engineering")</f>
        <v>https://www.sciencedirect.com/journal/digital-engineering</v>
      </c>
      <c r="G728" s="1" t="s">
        <v>2384</v>
      </c>
    </row>
    <row r="729" spans="1:7" ht="12.75" customHeight="1" x14ac:dyDescent="0.3">
      <c r="A729" s="1" t="s">
        <v>2385</v>
      </c>
      <c r="B729" s="1" t="s">
        <v>222</v>
      </c>
      <c r="C729" s="1" t="s">
        <v>2386</v>
      </c>
      <c r="D729" s="6">
        <v>1648</v>
      </c>
      <c r="E729" s="1" t="s">
        <v>156</v>
      </c>
      <c r="F729" s="2" t="str">
        <f>HYPERLINK("https://www.sciencedirect.com/journal/jca-advances")</f>
        <v>https://www.sciencedirect.com/journal/jca-advances</v>
      </c>
      <c r="G729" s="1" t="s">
        <v>2387</v>
      </c>
    </row>
    <row r="730" spans="1:7" ht="12.75" customHeight="1" x14ac:dyDescent="0.3">
      <c r="A730" s="1" t="s">
        <v>2388</v>
      </c>
      <c r="B730" s="1" t="s">
        <v>166</v>
      </c>
      <c r="C730" s="1" t="s">
        <v>2389</v>
      </c>
      <c r="D730" s="6">
        <v>1200</v>
      </c>
      <c r="E730" s="1" t="s">
        <v>158</v>
      </c>
      <c r="F730" s="2" t="str">
        <f>HYPERLINK("https://www.sciencedirect.com/journal/journal-of-the-air-transport-research-society")</f>
        <v>https://www.sciencedirect.com/journal/journal-of-the-air-transport-research-society</v>
      </c>
      <c r="G730" s="1" t="s">
        <v>2390</v>
      </c>
    </row>
    <row r="731" spans="1:7" ht="12.75" customHeight="1" x14ac:dyDescent="0.3">
      <c r="A731" s="1" t="s">
        <v>2391</v>
      </c>
      <c r="B731" s="1" t="s">
        <v>160</v>
      </c>
      <c r="C731" s="1" t="s">
        <v>2392</v>
      </c>
      <c r="D731" s="6">
        <v>1344</v>
      </c>
      <c r="E731" s="1" t="s">
        <v>158</v>
      </c>
      <c r="F731" s="2" t="str">
        <f>HYPERLINK("https://www.sciencedirect.com/journal/ksce-journal-of-civil-engineering")</f>
        <v>https://www.sciencedirect.com/journal/ksce-journal-of-civil-engineering</v>
      </c>
      <c r="G731" s="1" t="s">
        <v>2393</v>
      </c>
    </row>
    <row r="732" spans="1:7" ht="12.75" customHeight="1" x14ac:dyDescent="0.3">
      <c r="A732" s="1" t="s">
        <v>2394</v>
      </c>
      <c r="B732" s="1" t="s">
        <v>222</v>
      </c>
      <c r="C732" s="1" t="s">
        <v>2395</v>
      </c>
      <c r="D732" s="6">
        <v>1888</v>
      </c>
      <c r="E732" s="1" t="s">
        <v>158</v>
      </c>
      <c r="F732" s="2" t="str">
        <f>HYPERLINK("https://www.sciencedirect.com/journal/cmi-communications")</f>
        <v>https://www.sciencedirect.com/journal/cmi-communications</v>
      </c>
      <c r="G732" s="1" t="s">
        <v>2396</v>
      </c>
    </row>
    <row r="733" spans="1:7" ht="12.75" customHeight="1" x14ac:dyDescent="0.3">
      <c r="A733" s="1" t="s">
        <v>2397</v>
      </c>
      <c r="B733" s="1" t="s">
        <v>222</v>
      </c>
      <c r="C733" s="1" t="s">
        <v>2398</v>
      </c>
      <c r="D733" s="6">
        <v>1872</v>
      </c>
      <c r="E733" s="1" t="s">
        <v>158</v>
      </c>
      <c r="F733" s="2" t="str">
        <f>HYPERLINK("https://www.sciencedirect.com/journal/jtcvs-structural-and-endovascular")</f>
        <v>https://www.sciencedirect.com/journal/jtcvs-structural-and-endovascular</v>
      </c>
      <c r="G733" s="1" t="s">
        <v>2399</v>
      </c>
    </row>
    <row r="734" spans="1:7" ht="12.75" customHeight="1" x14ac:dyDescent="0.3">
      <c r="A734" s="1" t="s">
        <v>2400</v>
      </c>
      <c r="B734" s="1" t="s">
        <v>168</v>
      </c>
      <c r="C734" s="1" t="s">
        <v>2401</v>
      </c>
      <c r="D734" s="6"/>
      <c r="E734" s="1" t="s">
        <v>158</v>
      </c>
      <c r="F734" s="2" t="str">
        <f>HYPERLINK("https://www.sciencedirect.com/journal/italian-journal-of-agronomy")</f>
        <v>https://www.sciencedirect.com/journal/italian-journal-of-agronomy</v>
      </c>
      <c r="G734" s="1" t="s">
        <v>2402</v>
      </c>
    </row>
    <row r="735" spans="1:7" ht="12.75" customHeight="1" x14ac:dyDescent="0.3">
      <c r="A735" s="1" t="s">
        <v>2403</v>
      </c>
      <c r="B735" s="1" t="s">
        <v>169</v>
      </c>
      <c r="C735" s="1" t="s">
        <v>2404</v>
      </c>
      <c r="D735" s="6"/>
      <c r="E735" s="1" t="s">
        <v>158</v>
      </c>
      <c r="F735" s="2" t="str">
        <f>HYPERLINK("https://www.sciencedirect.com/journal/journal-of-the-european-meteorological-society")</f>
        <v>https://www.sciencedirect.com/journal/journal-of-the-european-meteorological-society</v>
      </c>
      <c r="G735" s="1" t="s">
        <v>2405</v>
      </c>
    </row>
    <row r="736" spans="1:7" ht="12.75" customHeight="1" x14ac:dyDescent="0.3">
      <c r="A736" s="1" t="s">
        <v>2406</v>
      </c>
      <c r="B736" s="1" t="s">
        <v>410</v>
      </c>
      <c r="C736" s="1" t="s">
        <v>2407</v>
      </c>
      <c r="D736" s="6">
        <v>1808</v>
      </c>
      <c r="E736" s="1" t="s">
        <v>158</v>
      </c>
      <c r="F736" s="2" t="str">
        <f>HYPERLINK("https://www.sciencedirect.com/journal/digital-dentistry-journal")</f>
        <v>https://www.sciencedirect.com/journal/digital-dentistry-journal</v>
      </c>
      <c r="G736" s="1" t="s">
        <v>2408</v>
      </c>
    </row>
    <row r="737" spans="1:7" ht="12.75" customHeight="1" x14ac:dyDescent="0.3">
      <c r="A737" s="1" t="s">
        <v>2409</v>
      </c>
      <c r="B737" s="1" t="s">
        <v>222</v>
      </c>
      <c r="C737" s="1" t="s">
        <v>2410</v>
      </c>
      <c r="D737" s="6">
        <v>1888</v>
      </c>
      <c r="E737" s="1" t="s">
        <v>156</v>
      </c>
      <c r="F737" s="2" t="str">
        <f>HYPERLINK("https://www.sciencedirect.com/journal/mass-gathering-medicine")</f>
        <v>https://www.sciencedirect.com/journal/mass-gathering-medicine</v>
      </c>
      <c r="G737" s="1" t="s">
        <v>2411</v>
      </c>
    </row>
    <row r="738" spans="1:7" ht="12.75" customHeight="1" x14ac:dyDescent="0.3">
      <c r="A738" s="1" t="s">
        <v>2412</v>
      </c>
      <c r="B738" s="1" t="s">
        <v>2376</v>
      </c>
      <c r="C738" s="1" t="s">
        <v>2413</v>
      </c>
      <c r="D738" s="6">
        <v>2312</v>
      </c>
      <c r="E738" s="1" t="s">
        <v>158</v>
      </c>
      <c r="F738" s="2" t="str">
        <f>HYPERLINK("https://www.sciencedirect.com/journal/esmo-rare-cancers")</f>
        <v>https://www.sciencedirect.com/journal/esmo-rare-cancers</v>
      </c>
      <c r="G738" s="1" t="s">
        <v>2414</v>
      </c>
    </row>
    <row r="739" spans="1:7" ht="12.75" customHeight="1" x14ac:dyDescent="0.3">
      <c r="A739" s="1" t="s">
        <v>2415</v>
      </c>
      <c r="B739" s="1" t="s">
        <v>169</v>
      </c>
      <c r="C739" s="1" t="s">
        <v>2416</v>
      </c>
      <c r="D739" s="6">
        <v>1568</v>
      </c>
      <c r="E739" s="1" t="s">
        <v>156</v>
      </c>
      <c r="F739" s="2" t="str">
        <f>HYPERLINK("https://www.sciencedirect.com/journal/geodata-and-ai")</f>
        <v>https://www.sciencedirect.com/journal/geodata-and-ai</v>
      </c>
      <c r="G739" s="1" t="s">
        <v>2417</v>
      </c>
    </row>
    <row r="740" spans="1:7" ht="12.75" customHeight="1" x14ac:dyDescent="0.3">
      <c r="A740" s="1" t="s">
        <v>2418</v>
      </c>
      <c r="B740" s="1" t="s">
        <v>166</v>
      </c>
      <c r="C740" s="1" t="s">
        <v>2419</v>
      </c>
      <c r="D740" s="6">
        <v>1344</v>
      </c>
      <c r="E740" s="1" t="s">
        <v>158</v>
      </c>
      <c r="F740" s="2" t="str">
        <f>HYPERLINK("https://www.sciencedirect.com/journal/global-challenges-and-regional-science")</f>
        <v>https://www.sciencedirect.com/journal/global-challenges-and-regional-science</v>
      </c>
      <c r="G740" s="1" t="s">
        <v>2420</v>
      </c>
    </row>
    <row r="741" spans="1:7" ht="12.75" customHeight="1" x14ac:dyDescent="0.3">
      <c r="A741" s="1" t="s">
        <v>2421</v>
      </c>
      <c r="B741" s="1" t="s">
        <v>222</v>
      </c>
      <c r="C741" s="1" t="s">
        <v>2422</v>
      </c>
      <c r="D741" s="6"/>
      <c r="E741" s="1" t="s">
        <v>158</v>
      </c>
      <c r="F741" s="2" t="str">
        <f>HYPERLINK("https://www.sciencedirect.com/journal/the-lancet-primary-care")</f>
        <v>https://www.sciencedirect.com/journal/the-lancet-primary-care</v>
      </c>
      <c r="G741" s="1" t="s">
        <v>2423</v>
      </c>
    </row>
    <row r="742" spans="1:7" ht="12.75" customHeight="1" x14ac:dyDescent="0.3">
      <c r="A742" s="1" t="s">
        <v>2424</v>
      </c>
      <c r="B742" s="1" t="s">
        <v>157</v>
      </c>
      <c r="C742" s="1" t="s">
        <v>2425</v>
      </c>
      <c r="D742" s="6">
        <v>1416</v>
      </c>
      <c r="E742" s="1" t="s">
        <v>158</v>
      </c>
      <c r="F742" s="2" t="str">
        <f>HYPERLINK("https://www.sciencedirect.com/journal/accounting-open")</f>
        <v>https://www.sciencedirect.com/journal/accounting-open</v>
      </c>
      <c r="G742" s="1" t="s">
        <v>2426</v>
      </c>
    </row>
    <row r="743" spans="1:7" ht="12.75" customHeight="1" x14ac:dyDescent="0.3">
      <c r="A743" s="1" t="s">
        <v>2427</v>
      </c>
      <c r="B743" s="1" t="s">
        <v>222</v>
      </c>
      <c r="C743" s="1" t="s">
        <v>2428</v>
      </c>
      <c r="D743" s="6">
        <v>2616</v>
      </c>
      <c r="E743" s="1" t="s">
        <v>158</v>
      </c>
      <c r="F743" s="2" t="str">
        <f>HYPERLINK("https://www.sciencedirect.com/journal/international-psychogeriatrics")</f>
        <v>https://www.sciencedirect.com/journal/international-psychogeriatrics</v>
      </c>
      <c r="G743" s="1" t="s">
        <v>2429</v>
      </c>
    </row>
    <row r="744" spans="1:7" ht="12.75" customHeight="1" x14ac:dyDescent="0.3">
      <c r="A744" s="1" t="s">
        <v>2430</v>
      </c>
      <c r="B744" s="1" t="s">
        <v>222</v>
      </c>
      <c r="C744" s="1" t="s">
        <v>2431</v>
      </c>
      <c r="D744" s="6">
        <v>1872</v>
      </c>
      <c r="E744" s="1" t="s">
        <v>158</v>
      </c>
      <c r="F744" s="2" t="str">
        <f>HYPERLINK("https://www.sciencedirect.com/journal/transcranial-magnetic-stimulation")</f>
        <v>https://www.sciencedirect.com/journal/transcranial-magnetic-stimulation</v>
      </c>
      <c r="G744" s="1" t="s">
        <v>2432</v>
      </c>
    </row>
    <row r="745" spans="1:7" ht="12.75" customHeight="1" x14ac:dyDescent="0.3">
      <c r="A745" s="1" t="s">
        <v>2433</v>
      </c>
      <c r="B745" s="1" t="s">
        <v>2434</v>
      </c>
      <c r="C745" s="1" t="s">
        <v>2435</v>
      </c>
      <c r="D745" s="6">
        <v>3040</v>
      </c>
      <c r="E745" s="1" t="s">
        <v>158</v>
      </c>
      <c r="F745" s="2" t="str">
        <f>HYPERLINK("https://www.sciencedirect.com/journal/the-journal-of-prevention-of-alzheimers-disease")</f>
        <v>https://www.sciencedirect.com/journal/the-journal-of-prevention-of-alzheimers-disease</v>
      </c>
      <c r="G745" s="1" t="s">
        <v>2436</v>
      </c>
    </row>
    <row r="746" spans="1:7" ht="12.75" customHeight="1" x14ac:dyDescent="0.3">
      <c r="A746" s="1" t="s">
        <v>2437</v>
      </c>
      <c r="B746" s="1" t="s">
        <v>2438</v>
      </c>
      <c r="C746" s="1" t="s">
        <v>2439</v>
      </c>
      <c r="D746" s="6">
        <v>1968</v>
      </c>
      <c r="E746" s="1" t="s">
        <v>156</v>
      </c>
      <c r="F746" s="2" t="str">
        <f>HYPERLINK("https://www.sciencedirect.com/journal/ai-thermal-fluids")</f>
        <v>https://www.sciencedirect.com/journal/ai-thermal-fluids</v>
      </c>
      <c r="G746" s="1" t="s">
        <v>2440</v>
      </c>
    </row>
    <row r="747" spans="1:7" ht="12.75" customHeight="1" x14ac:dyDescent="0.3">
      <c r="A747" s="1" t="s">
        <v>2441</v>
      </c>
      <c r="B747" s="1" t="s">
        <v>2442</v>
      </c>
      <c r="C747" s="1" t="s">
        <v>2443</v>
      </c>
      <c r="D747" s="6">
        <v>2320</v>
      </c>
      <c r="E747" s="1" t="s">
        <v>158</v>
      </c>
      <c r="F747" s="2" t="str">
        <f>HYPERLINK("https://www.sciencedirect.com/journal/aspet-discovery")</f>
        <v>https://www.sciencedirect.com/journal/aspet-discovery</v>
      </c>
      <c r="G747" s="1" t="s">
        <v>2444</v>
      </c>
    </row>
    <row r="748" spans="1:7" ht="12.75" customHeight="1" x14ac:dyDescent="0.3">
      <c r="A748" s="1" t="s">
        <v>2445</v>
      </c>
      <c r="B748" s="1" t="s">
        <v>2446</v>
      </c>
      <c r="C748" s="1" t="s">
        <v>2447</v>
      </c>
      <c r="D748" s="6">
        <v>2136</v>
      </c>
      <c r="E748" s="1" t="s">
        <v>158</v>
      </c>
      <c r="F748" s="2" t="str">
        <f>HYPERLINK("https://www.sciencedirect.com/journal/the-journal-of-frailty-and-aging")</f>
        <v>https://www.sciencedirect.com/journal/the-journal-of-frailty-and-aging</v>
      </c>
      <c r="G748" s="1" t="s">
        <v>2448</v>
      </c>
    </row>
    <row r="749" spans="1:7" ht="12.75" customHeight="1" x14ac:dyDescent="0.3">
      <c r="A749" s="1" t="s">
        <v>2449</v>
      </c>
      <c r="B749" s="1" t="s">
        <v>2450</v>
      </c>
      <c r="C749" s="1" t="s">
        <v>2451</v>
      </c>
      <c r="D749" s="6">
        <v>1224</v>
      </c>
      <c r="E749" s="1" t="s">
        <v>158</v>
      </c>
      <c r="F749" s="2" t="str">
        <f>HYPERLINK("https://www.sciencedirect.com/journal/the-journal-of-aging-research-and-lifestyle")</f>
        <v>https://www.sciencedirect.com/journal/the-journal-of-aging-research-and-lifestyle</v>
      </c>
      <c r="G749" s="1" t="s">
        <v>2452</v>
      </c>
    </row>
    <row r="750" spans="1:7" ht="12.75" customHeight="1" x14ac:dyDescent="0.3">
      <c r="A750" s="1" t="s">
        <v>2453</v>
      </c>
      <c r="B750" s="1" t="s">
        <v>222</v>
      </c>
      <c r="C750" s="1" t="s">
        <v>2454</v>
      </c>
      <c r="D750" s="6">
        <v>2168</v>
      </c>
      <c r="E750" s="1" t="s">
        <v>158</v>
      </c>
      <c r="F750" s="2" t="str">
        <f>HYPERLINK("https://www.sciencedirect.com/journal/european-journal-of-radiology-artificial-intelligence")</f>
        <v>https://www.sciencedirect.com/journal/european-journal-of-radiology-artificial-intelligence</v>
      </c>
      <c r="G750" s="1" t="s">
        <v>2455</v>
      </c>
    </row>
    <row r="751" spans="1:7" ht="12.75" customHeight="1" x14ac:dyDescent="0.3">
      <c r="A751" s="1" t="s">
        <v>2456</v>
      </c>
      <c r="B751" s="1" t="s">
        <v>187</v>
      </c>
      <c r="C751" s="1" t="s">
        <v>2457</v>
      </c>
      <c r="D751" s="6">
        <v>2360</v>
      </c>
      <c r="E751" s="1" t="s">
        <v>156</v>
      </c>
      <c r="F751" s="2" t="str">
        <f>HYPERLINK("https://www.sciencedirect.com/journal/brain-and-environment")</f>
        <v>https://www.sciencedirect.com/journal/brain-and-environment</v>
      </c>
      <c r="G751" s="1" t="s">
        <v>2458</v>
      </c>
    </row>
    <row r="752" spans="1:7" ht="12.75" customHeight="1" x14ac:dyDescent="0.3">
      <c r="A752" s="1" t="s">
        <v>2459</v>
      </c>
      <c r="B752" s="1" t="s">
        <v>185</v>
      </c>
      <c r="C752" s="1" t="s">
        <v>2460</v>
      </c>
      <c r="D752" s="6">
        <v>1416</v>
      </c>
      <c r="E752" s="1" t="s">
        <v>158</v>
      </c>
      <c r="F752" s="2" t="str">
        <f>HYPERLINK("https://www.sciencedirect.com/journal/sustainable-chemistry-for-biodiversity")</f>
        <v>https://www.sciencedirect.com/journal/sustainable-chemistry-for-biodiversity</v>
      </c>
      <c r="G752" s="1" t="s">
        <v>2461</v>
      </c>
    </row>
    <row r="753" spans="1:7" ht="12.75" customHeight="1" x14ac:dyDescent="0.3">
      <c r="A753" s="1" t="s">
        <v>2462</v>
      </c>
      <c r="B753" s="1" t="s">
        <v>107</v>
      </c>
      <c r="C753" s="1" t="s">
        <v>2463</v>
      </c>
      <c r="D753" s="6">
        <v>2168</v>
      </c>
      <c r="E753" s="1" t="s">
        <v>158</v>
      </c>
      <c r="F753" s="2" t="str">
        <f>HYPERLINK("https://www.sciencedirect.com/journal/the-journal-of-physiological-sciences")</f>
        <v>https://www.sciencedirect.com/journal/the-journal-of-physiological-sciences</v>
      </c>
      <c r="G753" s="1" t="s">
        <v>2464</v>
      </c>
    </row>
    <row r="754" spans="1:7" ht="12.75" customHeight="1" x14ac:dyDescent="0.3">
      <c r="A754" s="1" t="s">
        <v>2465</v>
      </c>
      <c r="B754" s="1" t="s">
        <v>868</v>
      </c>
      <c r="C754" s="1" t="s">
        <v>2466</v>
      </c>
      <c r="D754" s="6">
        <v>2360</v>
      </c>
      <c r="E754" s="1" t="s">
        <v>158</v>
      </c>
      <c r="F754" s="2" t="str">
        <f>HYPERLINK("https://www.sciencedirect.com/journal/nam-journal")</f>
        <v>https://www.sciencedirect.com/journal/nam-journal</v>
      </c>
      <c r="G754" s="1" t="s">
        <v>2467</v>
      </c>
    </row>
    <row r="755" spans="1:7" ht="12.75" customHeight="1" x14ac:dyDescent="0.3">
      <c r="A755" s="1" t="s">
        <v>2468</v>
      </c>
      <c r="B755" s="1" t="s">
        <v>107</v>
      </c>
      <c r="C755" s="1" t="s">
        <v>2469</v>
      </c>
      <c r="D755" s="6">
        <v>1888</v>
      </c>
      <c r="E755" s="1" t="s">
        <v>158</v>
      </c>
      <c r="F755" s="2" t="str">
        <f>HYPERLINK("https://www.sciencedirect.com/journal/the-journal-of-nutritional-physiology")</f>
        <v>https://www.sciencedirect.com/journal/the-journal-of-nutritional-physiology</v>
      </c>
      <c r="G755" s="1" t="s">
        <v>2470</v>
      </c>
    </row>
    <row r="756" spans="1:7" ht="12.75" customHeight="1" x14ac:dyDescent="0.3">
      <c r="A756" s="1" t="s">
        <v>2471</v>
      </c>
      <c r="B756" s="1" t="s">
        <v>107</v>
      </c>
      <c r="C756" s="1" t="s">
        <v>2472</v>
      </c>
      <c r="D756" s="6">
        <v>2408</v>
      </c>
      <c r="E756" s="1" t="s">
        <v>158</v>
      </c>
      <c r="F756" s="2" t="str">
        <f>HYPERLINK("https://www.sciencedirect.com/journal/the-journal-of-precision-medicine-health-and-disease")</f>
        <v>https://www.sciencedirect.com/journal/the-journal-of-precision-medicine-health-and-disease</v>
      </c>
      <c r="G756" s="1" t="s">
        <v>2473</v>
      </c>
    </row>
    <row r="757" spans="1:7" ht="12.75" customHeight="1" x14ac:dyDescent="0.3">
      <c r="A757" s="1" t="s">
        <v>2474</v>
      </c>
      <c r="B757" s="1" t="s">
        <v>252</v>
      </c>
      <c r="C757" s="1" t="s">
        <v>2475</v>
      </c>
      <c r="D757" s="6">
        <v>2840</v>
      </c>
      <c r="E757" s="1" t="s">
        <v>158</v>
      </c>
      <c r="F757" s="2" t="str">
        <f>HYPERLINK("https://www.sciencedirect.com/journal/total-environment-microbiology")</f>
        <v>https://www.sciencedirect.com/journal/total-environment-microbiology</v>
      </c>
      <c r="G757" s="1" t="s">
        <v>2476</v>
      </c>
    </row>
    <row r="758" spans="1:7" ht="12.75" customHeight="1" x14ac:dyDescent="0.3">
      <c r="A758" s="1" t="s">
        <v>2477</v>
      </c>
      <c r="B758" s="1" t="s">
        <v>165</v>
      </c>
      <c r="C758" s="1" t="s">
        <v>2478</v>
      </c>
      <c r="D758" s="6">
        <v>1656</v>
      </c>
      <c r="E758" s="1" t="s">
        <v>158</v>
      </c>
      <c r="F758" s="2" t="str">
        <f>HYPERLINK("https://www.sciencedirect.com/journal/measurement-digitalization")</f>
        <v>https://www.sciencedirect.com/journal/measurement-digitalization</v>
      </c>
      <c r="G758" s="1" t="s">
        <v>2479</v>
      </c>
    </row>
    <row r="759" spans="1:7" ht="12.75" customHeight="1" x14ac:dyDescent="0.3">
      <c r="A759" s="1" t="s">
        <v>2480</v>
      </c>
      <c r="B759" s="1" t="s">
        <v>179</v>
      </c>
      <c r="C759" s="1" t="s">
        <v>2481</v>
      </c>
      <c r="D759" s="6">
        <v>1648</v>
      </c>
      <c r="E759" s="1" t="s">
        <v>158</v>
      </c>
      <c r="F759" s="2" t="str">
        <f>HYPERLINK("https://www.sciencedirect.com/journal/carbon-neutral-technologies")</f>
        <v>https://www.sciencedirect.com/journal/carbon-neutral-technologies</v>
      </c>
      <c r="G759" s="1" t="s">
        <v>2482</v>
      </c>
    </row>
    <row r="760" spans="1:7" ht="12.75" customHeight="1" x14ac:dyDescent="0.3">
      <c r="A760" s="1" t="s">
        <v>2483</v>
      </c>
      <c r="B760" s="1" t="s">
        <v>222</v>
      </c>
      <c r="C760" s="1" t="s">
        <v>2484</v>
      </c>
      <c r="D760" s="6">
        <v>2480</v>
      </c>
      <c r="E760" s="1" t="s">
        <v>158</v>
      </c>
      <c r="F760" s="2" t="str">
        <f>HYPERLINK("https://www.sciencedirect.com/journal/journal-of-cardiac-failure-intersections")</f>
        <v>https://www.sciencedirect.com/journal/journal-of-cardiac-failure-intersections</v>
      </c>
      <c r="G760" s="1" t="s">
        <v>2485</v>
      </c>
    </row>
    <row r="761" spans="1:7" ht="12.75" customHeight="1" x14ac:dyDescent="0.3">
      <c r="A761" s="1" t="s">
        <v>2486</v>
      </c>
      <c r="B761" s="1" t="s">
        <v>222</v>
      </c>
      <c r="C761" s="1" t="s">
        <v>2487</v>
      </c>
      <c r="D761" s="6">
        <v>1800</v>
      </c>
      <c r="E761" s="1" t="s">
        <v>158</v>
      </c>
      <c r="F761" s="2" t="str">
        <f>HYPERLINK("https://www.sciencedirect.com/journal/advances-in-patient-reported-outcomes")</f>
        <v>https://www.sciencedirect.com/journal/advances-in-patient-reported-outcomes</v>
      </c>
      <c r="G761" s="1" t="s">
        <v>2488</v>
      </c>
    </row>
    <row r="762" spans="1:7" ht="12.75" customHeight="1" x14ac:dyDescent="0.3">
      <c r="A762" s="1" t="s">
        <v>2489</v>
      </c>
      <c r="B762" s="1" t="s">
        <v>166</v>
      </c>
      <c r="C762" s="1" t="s">
        <v>2490</v>
      </c>
      <c r="D762" s="6">
        <v>1184</v>
      </c>
      <c r="E762" s="1" t="s">
        <v>158</v>
      </c>
      <c r="F762" s="2" t="str">
        <f>HYPERLINK("https://www.sciencedirect.com/journal/urban-transitions")</f>
        <v>https://www.sciencedirect.com/journal/urban-transitions</v>
      </c>
      <c r="G762" s="1" t="s">
        <v>2491</v>
      </c>
    </row>
    <row r="763" spans="1:7" ht="12.75" customHeight="1" x14ac:dyDescent="0.3">
      <c r="A763" s="1" t="s">
        <v>2492</v>
      </c>
      <c r="B763" s="1" t="s">
        <v>225</v>
      </c>
      <c r="C763" s="1" t="s">
        <v>2493</v>
      </c>
      <c r="D763" s="6">
        <v>784</v>
      </c>
      <c r="E763" s="1" t="s">
        <v>158</v>
      </c>
      <c r="F763" s="2" t="str">
        <f>HYPERLINK("https://www.sciencedirect.com/journal/finance-research-open")</f>
        <v>https://www.sciencedirect.com/journal/finance-research-open</v>
      </c>
      <c r="G763" s="1" t="s">
        <v>2494</v>
      </c>
    </row>
    <row r="764" spans="1:7" ht="12.75" customHeight="1" x14ac:dyDescent="0.3">
      <c r="A764" s="1" t="s">
        <v>2495</v>
      </c>
      <c r="B764" s="1" t="s">
        <v>222</v>
      </c>
      <c r="C764" s="1" t="s">
        <v>2496</v>
      </c>
      <c r="D764" s="6">
        <v>1560</v>
      </c>
      <c r="E764" s="1" t="s">
        <v>158</v>
      </c>
      <c r="F764" s="2" t="str">
        <f>HYPERLINK("https://www.sciencedirect.com/journal/eular-rheumatology-open")</f>
        <v>https://www.sciencedirect.com/journal/eular-rheumatology-open</v>
      </c>
      <c r="G764" s="1" t="s">
        <v>2497</v>
      </c>
    </row>
    <row r="765" spans="1:7" ht="12.75" customHeight="1" x14ac:dyDescent="0.3">
      <c r="A765" s="1" t="s">
        <v>2498</v>
      </c>
      <c r="B765" s="1" t="s">
        <v>2499</v>
      </c>
      <c r="C765" s="1" t="s">
        <v>2500</v>
      </c>
      <c r="D765" s="6">
        <v>984</v>
      </c>
      <c r="E765" s="1" t="s">
        <v>156</v>
      </c>
      <c r="F765" s="2" t="str">
        <f>HYPERLINK("https://www.sciencedirect.com/journal/next-bioengineering")</f>
        <v>https://www.sciencedirect.com/journal/next-bioengineering</v>
      </c>
      <c r="G765" s="1" t="s">
        <v>2501</v>
      </c>
    </row>
    <row r="766" spans="1:7" ht="12.75" customHeight="1" x14ac:dyDescent="0.3">
      <c r="A766" s="1" t="s">
        <v>2502</v>
      </c>
      <c r="B766" s="1" t="s">
        <v>222</v>
      </c>
      <c r="C766" s="1" t="s">
        <v>2503</v>
      </c>
      <c r="D766" s="6">
        <v>1968</v>
      </c>
      <c r="E766" s="1" t="s">
        <v>158</v>
      </c>
      <c r="F766" s="2" t="str">
        <f>HYPERLINK("https://www.sciencedirect.com/journal/geopsychiatry")</f>
        <v>https://www.sciencedirect.com/journal/geopsychiatry</v>
      </c>
      <c r="G766" s="1" t="s">
        <v>2504</v>
      </c>
    </row>
    <row r="767" spans="1:7" ht="12.75" customHeight="1" x14ac:dyDescent="0.3">
      <c r="A767" s="1" t="s">
        <v>2505</v>
      </c>
      <c r="B767" s="1" t="s">
        <v>265</v>
      </c>
      <c r="C767" s="1" t="s">
        <v>2506</v>
      </c>
      <c r="D767" s="6">
        <v>984</v>
      </c>
      <c r="E767" s="1" t="s">
        <v>158</v>
      </c>
      <c r="F767" s="2" t="str">
        <f>HYPERLINK("https://www.sciencedirect.com/journal/next-chemical-engineering")</f>
        <v>https://www.sciencedirect.com/journal/next-chemical-engineering</v>
      </c>
      <c r="G767" s="1" t="s">
        <v>2507</v>
      </c>
    </row>
    <row r="768" spans="1:7" ht="12.75" customHeight="1" x14ac:dyDescent="0.3">
      <c r="A768" s="1" t="s">
        <v>2508</v>
      </c>
      <c r="B768" s="1" t="s">
        <v>222</v>
      </c>
      <c r="C768" s="1" t="s">
        <v>2509</v>
      </c>
      <c r="D768" s="6">
        <v>1568</v>
      </c>
      <c r="E768" s="1" t="s">
        <v>158</v>
      </c>
      <c r="F768" s="2" t="str">
        <f>HYPERLINK("https://www.sciencedirect.com/journal/in-silico-research-in-biomedicine")</f>
        <v>https://www.sciencedirect.com/journal/in-silico-research-in-biomedicine</v>
      </c>
      <c r="G768" s="1" t="s">
        <v>2510</v>
      </c>
    </row>
    <row r="769" spans="1:7" ht="12.75" customHeight="1" x14ac:dyDescent="0.3">
      <c r="A769" s="1" t="s">
        <v>2511</v>
      </c>
      <c r="B769" s="1" t="s">
        <v>168</v>
      </c>
      <c r="C769" s="1" t="s">
        <v>2512</v>
      </c>
      <c r="D769" s="6">
        <v>2248</v>
      </c>
      <c r="E769" s="1" t="s">
        <v>158</v>
      </c>
      <c r="F769" s="2" t="str">
        <f>HYPERLINK("https://www.sciencedirect.com/journal/plant-phenomics")</f>
        <v>https://www.sciencedirect.com/journal/plant-phenomics</v>
      </c>
      <c r="G769" s="1" t="s">
        <v>2513</v>
      </c>
    </row>
    <row r="770" spans="1:7" ht="12.75" customHeight="1" x14ac:dyDescent="0.3">
      <c r="A770" s="1" t="s">
        <v>2514</v>
      </c>
      <c r="B770" s="1" t="s">
        <v>2515</v>
      </c>
      <c r="C770" s="1" t="s">
        <v>2516</v>
      </c>
      <c r="D770" s="6">
        <v>1872</v>
      </c>
      <c r="E770" s="1" t="s">
        <v>158</v>
      </c>
      <c r="F770" s="2" t="str">
        <f>HYPERLINK("https://www.sciencedirect.com/journal/biodesign-research")</f>
        <v>https://www.sciencedirect.com/journal/biodesign-research</v>
      </c>
      <c r="G770" s="1" t="s">
        <v>2517</v>
      </c>
    </row>
    <row r="771" spans="1:7" ht="12.75" customHeight="1" x14ac:dyDescent="0.3">
      <c r="A771" s="1" t="s">
        <v>2518</v>
      </c>
      <c r="B771" s="1" t="s">
        <v>177</v>
      </c>
      <c r="C771" s="1" t="s">
        <v>2519</v>
      </c>
      <c r="D771" s="6">
        <v>944</v>
      </c>
      <c r="E771" s="1" t="s">
        <v>158</v>
      </c>
      <c r="F771" s="2" t="str">
        <f>HYPERLINK("https://www.sciencedirect.com/journal/cleaner-food-systems")</f>
        <v>https://www.sciencedirect.com/journal/cleaner-food-systems</v>
      </c>
      <c r="G771" s="1" t="s">
        <v>2520</v>
      </c>
    </row>
    <row r="772" spans="1:7" ht="12.75" customHeight="1" x14ac:dyDescent="0.3">
      <c r="A772" s="1" t="s">
        <v>2521</v>
      </c>
      <c r="B772" s="1" t="s">
        <v>168</v>
      </c>
      <c r="C772" s="1" t="s">
        <v>2522</v>
      </c>
      <c r="D772" s="6"/>
      <c r="E772" s="1" t="s">
        <v>158</v>
      </c>
      <c r="F772" s="2" t="str">
        <f>HYPERLINK("https://www.sciencedirect.com/journal/european-poultry-science")</f>
        <v>https://www.sciencedirect.com/journal/european-poultry-science</v>
      </c>
      <c r="G772" s="1" t="s">
        <v>2523</v>
      </c>
    </row>
    <row r="773" spans="1:7" ht="12.75" customHeight="1" x14ac:dyDescent="0.3">
      <c r="A773" s="1" t="s">
        <v>2524</v>
      </c>
      <c r="B773" s="1" t="s">
        <v>187</v>
      </c>
      <c r="C773" s="1" t="s">
        <v>2525</v>
      </c>
      <c r="D773" s="6"/>
      <c r="E773" s="1" t="s">
        <v>158</v>
      </c>
      <c r="F773" s="2" t="str">
        <f>HYPERLINK("https://www.sciencedirect.com/journal/equity-neuroscience")</f>
        <v>https://www.sciencedirect.com/journal/equity-neuroscience</v>
      </c>
      <c r="G773" s="1" t="s">
        <v>2526</v>
      </c>
    </row>
    <row r="774" spans="1:7" ht="12.75" customHeight="1" x14ac:dyDescent="0.3">
      <c r="A774" s="1" t="s">
        <v>2527</v>
      </c>
      <c r="B774" s="1" t="s">
        <v>185</v>
      </c>
      <c r="C774" s="1" t="s">
        <v>2528</v>
      </c>
      <c r="D774" s="6"/>
      <c r="E774" s="1" t="s">
        <v>158</v>
      </c>
      <c r="F774" s="2" t="str">
        <f>HYPERLINK("https://www.sciencedirect.com/journal/environmental-nexus")</f>
        <v>https://www.sciencedirect.com/journal/environmental-nexus</v>
      </c>
      <c r="G774" s="1" t="s">
        <v>2529</v>
      </c>
    </row>
  </sheetData>
  <autoFilter ref="A4:G774" xr:uid="{00000000-0009-0000-0000-000001000000}"/>
  <pageMargins left="0.40000000000000008" right="0.40000000000000008" top="0.80000000000000016" bottom="0.40000000000000008" header="0.3" footer="0.51181102362204689"/>
  <pageSetup paperSize="9" scale="75" orientation="portrait" horizontalDpi="300" verticalDpi="300"/>
  <headerFooter>
    <oddHeader>&amp;LMPDL.RIO Data Report Default&amp;CNone&amp;RCase Output - Default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Gold OA</vt:lpstr>
      <vt:lpstr>'Gold OA'!Druckbereich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RIO wbook</dc:title>
  <dc:subject/>
  <dc:creator>ASDA authors</dc:creator>
  <dc:description/>
  <cp:lastModifiedBy>Rhiannon Schmitt  </cp:lastModifiedBy>
  <cp:revision>2</cp:revision>
  <dcterms:created xsi:type="dcterms:W3CDTF">2025-09-02T12:33:59Z</dcterms:created>
  <dcterms:modified xsi:type="dcterms:W3CDTF">2025-09-12T11:25:34Z</dcterms:modified>
  <dc:language>de-DE</dc:language>
</cp:coreProperties>
</file>